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521e116aee1ea31/Paulinha/Documentos/Blue/Licitações - SEI/Wifi/ETP - Apêndices/"/>
    </mc:Choice>
  </mc:AlternateContent>
  <xr:revisionPtr revIDLastSave="0" documentId="8_{5B030523-74FB-49C4-B3B2-0E19BDE0C394}" xr6:coauthVersionLast="47" xr6:coauthVersionMax="47" xr10:uidLastSave="{00000000-0000-0000-0000-000000000000}"/>
  <bookViews>
    <workbookView xWindow="-108" yWindow="-108" windowWidth="23256" windowHeight="12576" xr2:uid="{9CCCCE0B-8B61-418A-9059-4DE819770A2B}"/>
  </bookViews>
  <sheets>
    <sheet name="ETP-NOVO" sheetId="1" r:id="rId1"/>
    <sheet name="LISTA DE INDICES DE REAJUSTE" sheetId="3" r:id="rId2"/>
    <sheet name="ETP-INICIAL" sheetId="7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9" i="1" l="1"/>
  <c r="K9" i="1"/>
  <c r="J9" i="1"/>
  <c r="I9" i="1"/>
  <c r="H9" i="1"/>
  <c r="D11" i="1"/>
  <c r="AH14" i="1"/>
  <c r="AF14" i="1"/>
  <c r="O14" i="1"/>
  <c r="AB17" i="7"/>
  <c r="F17" i="7" s="1"/>
  <c r="AK16" i="7"/>
  <c r="AF16" i="7"/>
  <c r="AC16" i="7"/>
  <c r="Z16" i="7"/>
  <c r="P16" i="7"/>
  <c r="AL15" i="7"/>
  <c r="AA15" i="7"/>
  <c r="AJ14" i="7"/>
  <c r="AH14" i="7"/>
  <c r="AC14" i="7"/>
  <c r="AJ13" i="7"/>
  <c r="AH13" i="7"/>
  <c r="P13" i="7"/>
  <c r="AF12" i="7"/>
  <c r="Z12" i="7"/>
  <c r="AK11" i="7"/>
  <c r="AF11" i="7"/>
  <c r="AK10" i="7"/>
  <c r="AF10" i="7"/>
  <c r="AD10" i="7"/>
  <c r="AC10" i="7"/>
  <c r="AK9" i="7"/>
  <c r="AJ9" i="7"/>
  <c r="AF9" i="7"/>
  <c r="AD9" i="7"/>
  <c r="AC9" i="7"/>
  <c r="Z9" i="7"/>
  <c r="X9" i="7"/>
  <c r="P9" i="7"/>
  <c r="AJ8" i="7"/>
  <c r="AG8" i="7"/>
  <c r="AD8" i="7"/>
  <c r="AC8" i="7"/>
  <c r="Z8" i="7"/>
  <c r="V8" i="7"/>
  <c r="U8" i="7"/>
  <c r="S8" i="7"/>
  <c r="Q8" i="7"/>
  <c r="AK7" i="7"/>
  <c r="AJ7" i="7"/>
  <c r="Z7" i="7"/>
  <c r="S7" i="7"/>
  <c r="R7" i="7"/>
  <c r="Q7" i="7"/>
  <c r="AK6" i="7"/>
  <c r="AI6" i="7"/>
  <c r="AG6" i="7"/>
  <c r="AD6" i="7"/>
  <c r="AC6" i="7"/>
  <c r="W6" i="7"/>
  <c r="AK5" i="7"/>
  <c r="AI5" i="7"/>
  <c r="AC5" i="7"/>
  <c r="W5" i="7"/>
  <c r="AC4" i="7"/>
  <c r="V4" i="7"/>
  <c r="U4" i="7"/>
  <c r="Q4" i="7"/>
  <c r="P4" i="7"/>
  <c r="AF3" i="7"/>
  <c r="U3" i="7"/>
  <c r="S3" i="7"/>
  <c r="Q3" i="7"/>
  <c r="P3" i="7"/>
  <c r="T3" i="1"/>
  <c r="R3" i="1"/>
  <c r="P3" i="1"/>
  <c r="L9" i="1" l="1"/>
  <c r="M9" i="1" s="1"/>
  <c r="L17" i="7"/>
  <c r="J17" i="7"/>
  <c r="K17" i="7"/>
  <c r="U4" i="1"/>
  <c r="T4" i="1"/>
  <c r="P4" i="1"/>
  <c r="E9" i="1" l="1"/>
  <c r="F9" i="1" s="1"/>
  <c r="M17" i="7"/>
  <c r="F3" i="7"/>
  <c r="F4" i="7"/>
  <c r="F5" i="7"/>
  <c r="F6" i="7"/>
  <c r="F7" i="7"/>
  <c r="F8" i="7"/>
  <c r="F9" i="7"/>
  <c r="F10" i="7"/>
  <c r="F11" i="7"/>
  <c r="F12" i="7"/>
  <c r="F13" i="7"/>
  <c r="F14" i="7"/>
  <c r="F15" i="7"/>
  <c r="F16" i="7"/>
  <c r="K16" i="7"/>
  <c r="K15" i="7"/>
  <c r="L15" i="7"/>
  <c r="L14" i="7"/>
  <c r="M14" i="7" s="1"/>
  <c r="K14" i="7"/>
  <c r="J14" i="7"/>
  <c r="L13" i="7"/>
  <c r="K13" i="7"/>
  <c r="J13" i="7"/>
  <c r="K12" i="7"/>
  <c r="K11" i="7"/>
  <c r="L11" i="7"/>
  <c r="L10" i="7"/>
  <c r="K10" i="7"/>
  <c r="J10" i="7"/>
  <c r="K9" i="7"/>
  <c r="L9" i="7"/>
  <c r="L8" i="7"/>
  <c r="J7" i="7"/>
  <c r="L6" i="7"/>
  <c r="L5" i="7"/>
  <c r="K4" i="7"/>
  <c r="L4" i="7"/>
  <c r="J3" i="7"/>
  <c r="L3" i="7"/>
  <c r="K3" i="7"/>
  <c r="AE8" i="1"/>
  <c r="AE6" i="1"/>
  <c r="D4" i="3"/>
  <c r="B4" i="3"/>
  <c r="C4" i="3"/>
  <c r="E4" i="3"/>
  <c r="G14" i="7" l="1"/>
  <c r="M10" i="7"/>
  <c r="G10" i="7" s="1"/>
  <c r="H10" i="7" s="1"/>
  <c r="G17" i="7"/>
  <c r="H17" i="7" s="1"/>
  <c r="N17" i="7"/>
  <c r="M13" i="7"/>
  <c r="G13" i="7" s="1"/>
  <c r="M3" i="7"/>
  <c r="G3" i="7" s="1"/>
  <c r="H3" i="7" s="1"/>
  <c r="N3" i="7"/>
  <c r="N13" i="7"/>
  <c r="H13" i="7"/>
  <c r="N10" i="7"/>
  <c r="H14" i="7"/>
  <c r="N14" i="7"/>
  <c r="J12" i="7"/>
  <c r="J16" i="7"/>
  <c r="K6" i="7"/>
  <c r="K7" i="7"/>
  <c r="L12" i="7"/>
  <c r="L16" i="7"/>
  <c r="M16" i="7" s="1"/>
  <c r="G16" i="7" s="1"/>
  <c r="J5" i="7"/>
  <c r="M5" i="7" s="1"/>
  <c r="L7" i="7"/>
  <c r="M7" i="7" s="1"/>
  <c r="J4" i="7"/>
  <c r="M4" i="7" s="1"/>
  <c r="G4" i="7" s="1"/>
  <c r="K5" i="7"/>
  <c r="J9" i="7"/>
  <c r="M9" i="7" s="1"/>
  <c r="G9" i="7" s="1"/>
  <c r="J11" i="7"/>
  <c r="M11" i="7" s="1"/>
  <c r="G11" i="7" s="1"/>
  <c r="J15" i="7"/>
  <c r="M15" i="7" s="1"/>
  <c r="G15" i="7" s="1"/>
  <c r="J6" i="7"/>
  <c r="M6" i="7" s="1"/>
  <c r="J8" i="7"/>
  <c r="M8" i="7" s="1"/>
  <c r="K8" i="7"/>
  <c r="J14" i="1"/>
  <c r="I14" i="1"/>
  <c r="K14" i="1"/>
  <c r="G7" i="7" l="1"/>
  <c r="M12" i="7"/>
  <c r="G12" i="7" s="1"/>
  <c r="H12" i="7" s="1"/>
  <c r="G5" i="7"/>
  <c r="G8" i="7"/>
  <c r="G6" i="7"/>
  <c r="H6" i="7" s="1"/>
  <c r="H5" i="7"/>
  <c r="N5" i="7"/>
  <c r="N8" i="7"/>
  <c r="H8" i="7"/>
  <c r="N6" i="7"/>
  <c r="N12" i="7"/>
  <c r="H11" i="7"/>
  <c r="N11" i="7"/>
  <c r="N16" i="7"/>
  <c r="H16" i="7"/>
  <c r="N9" i="7"/>
  <c r="H9" i="7"/>
  <c r="H4" i="7"/>
  <c r="N4" i="7"/>
  <c r="H15" i="7"/>
  <c r="N15" i="7"/>
  <c r="N7" i="7"/>
  <c r="H7" i="7"/>
  <c r="H18" i="7" l="1"/>
  <c r="AJ16" i="1"/>
  <c r="AF15" i="1"/>
  <c r="AD13" i="1"/>
  <c r="AD12" i="1"/>
  <c r="AD11" i="1"/>
  <c r="AD10" i="1"/>
  <c r="AD3" i="1"/>
  <c r="AD17" i="1"/>
  <c r="AI17" i="1"/>
  <c r="AI10" i="1"/>
  <c r="AI11" i="1"/>
  <c r="AI12" i="1"/>
  <c r="AB10" i="1"/>
  <c r="U8" i="1"/>
  <c r="W10" i="1"/>
  <c r="V5" i="1"/>
  <c r="I12" i="1" l="1"/>
  <c r="J12" i="1"/>
  <c r="K12" i="1"/>
  <c r="O17" i="1"/>
  <c r="O10" i="1"/>
  <c r="O3" i="1"/>
  <c r="R7" i="1"/>
  <c r="J3" i="1" l="1"/>
  <c r="K3" i="1"/>
  <c r="I3" i="1"/>
  <c r="Y17" i="1"/>
  <c r="Y10" i="1"/>
  <c r="Y13" i="1"/>
  <c r="Y8" i="1"/>
  <c r="Y7" i="1"/>
  <c r="R8" i="1"/>
  <c r="AA17" i="1"/>
  <c r="AA4" i="1"/>
  <c r="AA10" i="1"/>
  <c r="AA11" i="1"/>
  <c r="AA15" i="1"/>
  <c r="AA8" i="1"/>
  <c r="AA6" i="1"/>
  <c r="AA5" i="1"/>
  <c r="K17" i="1" l="1"/>
  <c r="J17" i="1"/>
  <c r="I17" i="1"/>
  <c r="K13" i="1"/>
  <c r="I13" i="1"/>
  <c r="J13" i="1"/>
  <c r="AH10" i="1"/>
  <c r="AH15" i="1"/>
  <c r="J15" i="1" s="1"/>
  <c r="AH8" i="1"/>
  <c r="AH7" i="1"/>
  <c r="I10" i="1" l="1"/>
  <c r="I15" i="1"/>
  <c r="K15" i="1"/>
  <c r="K10" i="1"/>
  <c r="J10" i="1"/>
  <c r="Z16" i="1"/>
  <c r="P7" i="1"/>
  <c r="O4" i="1"/>
  <c r="AI7" i="1"/>
  <c r="AI6" i="1"/>
  <c r="AI5" i="1"/>
  <c r="AG6" i="1"/>
  <c r="AG5" i="1"/>
  <c r="J5" i="1" l="1"/>
  <c r="I5" i="1"/>
  <c r="K5" i="1"/>
  <c r="I4" i="1"/>
  <c r="J4" i="1"/>
  <c r="K4" i="1"/>
  <c r="I16" i="1"/>
  <c r="J16" i="1"/>
  <c r="K16" i="1"/>
  <c r="H16" i="1"/>
  <c r="H13" i="1"/>
  <c r="H12" i="1"/>
  <c r="H5" i="1"/>
  <c r="H17" i="1"/>
  <c r="H10" i="1"/>
  <c r="H15" i="1"/>
  <c r="AB11" i="1"/>
  <c r="AB8" i="1"/>
  <c r="AB6" i="1"/>
  <c r="T8" i="1"/>
  <c r="V6" i="1"/>
  <c r="Q7" i="1"/>
  <c r="J7" i="1" s="1"/>
  <c r="P8" i="1"/>
  <c r="I7" i="1" l="1"/>
  <c r="K7" i="1"/>
  <c r="L7" i="1" s="1"/>
  <c r="M7" i="1" s="1"/>
  <c r="I6" i="1"/>
  <c r="K6" i="1"/>
  <c r="J6" i="1"/>
  <c r="K11" i="1"/>
  <c r="J11" i="1"/>
  <c r="I11" i="1"/>
  <c r="I8" i="1"/>
  <c r="J8" i="1"/>
  <c r="K8" i="1"/>
  <c r="H3" i="1"/>
  <c r="H14" i="1"/>
  <c r="H8" i="1"/>
  <c r="H7" i="1"/>
  <c r="H4" i="1"/>
  <c r="H6" i="1"/>
  <c r="H11" i="1"/>
  <c r="L14" i="1"/>
  <c r="M14" i="1" s="1"/>
  <c r="L16" i="1"/>
  <c r="M16" i="1" s="1"/>
  <c r="L4" i="1"/>
  <c r="M4" i="1" s="1"/>
  <c r="L5" i="1"/>
  <c r="M5" i="1" s="1"/>
  <c r="L12" i="1"/>
  <c r="M12" i="1" s="1"/>
  <c r="L10" i="1"/>
  <c r="M10" i="1" s="1"/>
  <c r="L13" i="1"/>
  <c r="M13" i="1" s="1"/>
  <c r="L15" i="1"/>
  <c r="M15" i="1" s="1"/>
  <c r="L17" i="1"/>
  <c r="M17" i="1" s="1"/>
  <c r="E16" i="1" l="1"/>
  <c r="F16" i="1" s="1"/>
  <c r="L8" i="1"/>
  <c r="L3" i="1"/>
  <c r="M3" i="1" s="1"/>
  <c r="L11" i="1"/>
  <c r="M11" i="1" s="1"/>
  <c r="L6" i="1"/>
  <c r="M6" i="1" s="1"/>
  <c r="E13" i="1"/>
  <c r="F13" i="1" s="1"/>
  <c r="E17" i="1"/>
  <c r="F17" i="1" s="1"/>
  <c r="E5" i="1"/>
  <c r="F5" i="1" s="1"/>
  <c r="E10" i="1"/>
  <c r="F10" i="1" s="1"/>
  <c r="E12" i="1"/>
  <c r="F12" i="1" s="1"/>
  <c r="E7" i="1"/>
  <c r="F7" i="1" s="1"/>
  <c r="E15" i="1"/>
  <c r="F15" i="1" s="1"/>
  <c r="E14" i="1"/>
  <c r="F14" i="1" s="1"/>
  <c r="E4" i="1"/>
  <c r="F4" i="1" s="1"/>
  <c r="E8" i="1" l="1"/>
  <c r="M8" i="1"/>
  <c r="E3" i="1"/>
  <c r="F3" i="1" s="1"/>
  <c r="E6" i="1"/>
  <c r="F6" i="1" s="1"/>
  <c r="E11" i="1"/>
  <c r="F11" i="1" s="1"/>
  <c r="F8" i="1" l="1"/>
  <c r="F18" i="1"/>
</calcChain>
</file>

<file path=xl/sharedStrings.xml><?xml version="1.0" encoding="utf-8"?>
<sst xmlns="http://schemas.openxmlformats.org/spreadsheetml/2006/main" count="155" uniqueCount="102">
  <si>
    <t>UN</t>
  </si>
  <si>
    <t>UASG: 50001
Orgão: STJ
Edital: 00139/2023</t>
  </si>
  <si>
    <t>UASG: 420001
Orgão: MIN. DA CULTURA
Edital: 00014/2023</t>
  </si>
  <si>
    <t>UASG: 925942
Orgão: TJPA
Edital: 00076/2022</t>
  </si>
  <si>
    <t>UASG: 10001
Orgão: CAMARA DOS DEPUTADOS
Edital: 00082/2022</t>
  </si>
  <si>
    <t>UASG: 250110
Orgão: DATASUS
Edital: 13/2023</t>
  </si>
  <si>
    <t>UASG: 130005
Orgão: MAPA
Edital: 00021/2023</t>
  </si>
  <si>
    <t>UASG: 240123
Orgão: LNCC 
Edital: 00007/2022</t>
  </si>
  <si>
    <t>UASG 158134
Órgão: INST.FED.DE EDUC.,CIENC.E TEC. DE SERGIPE
Edital: 00079/2022</t>
  </si>
  <si>
    <t>UASG 200005
Órgão: MINISTERIO DA JUSTICA E SEGURANCA PUBLICA-MJ
Edital: 00022/2022</t>
  </si>
  <si>
    <t>UASG 440001
Órgão: MINISTÉRIO DO MEIO AMBIENTEE
Edital: 00001/2019</t>
  </si>
  <si>
    <t>CJ</t>
  </si>
  <si>
    <t>IPCA-E IBGE
06/2025</t>
  </si>
  <si>
    <t>ICTI IPEIA
06/2025</t>
  </si>
  <si>
    <t>MÊS</t>
  </si>
  <si>
    <t>Controladora de rede sem fio</t>
  </si>
  <si>
    <t>Solução de Gerenciamento</t>
  </si>
  <si>
    <t>Solução de Controle de Acesso à Rede</t>
  </si>
  <si>
    <t>Switch Spine de 40/100 GBps</t>
  </si>
  <si>
    <t>Switch Leaf de 10/25 Gbps</t>
  </si>
  <si>
    <t>Switch de Distribuição</t>
  </si>
  <si>
    <t>Switch de acesso de 48 portas</t>
  </si>
  <si>
    <t>GBIC 10 GBPS</t>
  </si>
  <si>
    <t>GBIC 25 GBPS</t>
  </si>
  <si>
    <t>GBIC 40 GBPS</t>
  </si>
  <si>
    <t>GBIC 100 GBPS</t>
  </si>
  <si>
    <t>Ponto de acesso</t>
  </si>
  <si>
    <t>Software de gestão de usuário WiFi</t>
  </si>
  <si>
    <t>Serviços de Capacitação</t>
  </si>
  <si>
    <t>Serviços Gerenciados - Comunicação e Conectividade</t>
  </si>
  <si>
    <t>GRUPO</t>
  </si>
  <si>
    <t>ITEM</t>
  </si>
  <si>
    <t>DESCRIÇÃO</t>
  </si>
  <si>
    <t>MÉTRICA</t>
  </si>
  <si>
    <t>QUANTIDADE</t>
  </si>
  <si>
    <t>NÚMERO DE PREÇOS PARA O ITEM</t>
  </si>
  <si>
    <t>VALOR DE REFÊNCIA</t>
  </si>
  <si>
    <t>REFERÊNCIAS</t>
  </si>
  <si>
    <t>UASG 158144
Órgão: INST.FED.DE EDUC.,CIENC.E TEC. MT
Edital: 00070/2022</t>
  </si>
  <si>
    <t>UASG: 153010
Orgão: MEC-CEFET-RJ
Edital: 00094/2023</t>
  </si>
  <si>
    <t>Homologação
do processo - Mês/Ano</t>
  </si>
  <si>
    <t>Processo/
Dados Correção</t>
  </si>
  <si>
    <t>VALOR TOTAL GLOBAL R$</t>
  </si>
  <si>
    <t>1
UASG: 154003
Orgão: CAPES
Edital: 90020/2025</t>
  </si>
  <si>
    <t>2
UASG: 925538
Orgão: SEAD/RN
Edital: 90021/2025</t>
  </si>
  <si>
    <t>3
UASG: 070017
Orgão: TRE/RJ
Edital: 90025/2025</t>
  </si>
  <si>
    <t>4
UASG: 102301 
Orgão: UNESP
Edital: 90019/2025</t>
  </si>
  <si>
    <t>5
UASG: 200247 
Orgão: ARQUIVO NACIONAL
Edital: 90009/2024</t>
  </si>
  <si>
    <t>6
UASG: 90006
Orgão: JF1A-CE
Edital: 90025/2024</t>
  </si>
  <si>
    <t>7
UASG: 925302 
Orgão: SEFAZ-PB
Edital: 90212/2024</t>
  </si>
  <si>
    <t>8
UASG: 803080
Orgão: SERPRO - SP
Edital: 90911/2024</t>
  </si>
  <si>
    <t>9
UASG: 926380
Orgão: TJGO
Edital: 00025/2024</t>
  </si>
  <si>
    <t>10
UASG: 926380
Orgão: TJGO
Edital: 00019/2024</t>
  </si>
  <si>
    <t>11
UASG: 250110
Orgão: DATASUS
Edital: 13/2023</t>
  </si>
  <si>
    <t>12
UASG: 130005
Orgão: MAPA
Edital: 00021/2023</t>
  </si>
  <si>
    <t>13
UASG: 153010
Orgão: MEC-CEFET-RJ
Edital: 00094/2023</t>
  </si>
  <si>
    <t>14
UASG: 420001
Orgão: MIN. DA CULTURA
Edital: 00014/2023</t>
  </si>
  <si>
    <t>15
UASG: 50001
Orgão: STJ
Edital: 00139/2023</t>
  </si>
  <si>
    <t>16
UASG: 153103
Orgão: UFRN
Edital: 00070/2023</t>
  </si>
  <si>
    <t>17
UASG: 10001
Orgão: CAMARA DOS DEPUTADOS
Edital: 00082/2022</t>
  </si>
  <si>
    <t>18
UASG 158144
Órgão: INST.FED.DE EDUC.,CIENC.E TEC. MT
Edital: 00070/2022</t>
  </si>
  <si>
    <t>19
UASG 158134
Órgão: INST.FED.DE EDUC.,CIENC.E TEC. DE SERGIPE
Edital: 00079/2022</t>
  </si>
  <si>
    <t>20
UASG: 240123
Orgão: LNCC 
Edital: 00007/2022</t>
  </si>
  <si>
    <t>21
UASG 200005
Órgão: MINISTERIO DA JUSTICA E SEGURANCA PUBLICA-MJ
Edital: 00022/2022</t>
  </si>
  <si>
    <t>22
UASG: 925942
Orgão: TJPA
Edital: 00076/2022</t>
  </si>
  <si>
    <t>23
UASG 440001
Órgão: MINISTÉRIO DO MEIO AMBIENTEE
Edital: 00001/2019</t>
  </si>
  <si>
    <t>24
Contrato Adm Pública
Contrato nº 6/2024 - CNJ
fator K - 2,35</t>
  </si>
  <si>
    <t>25
Planilha Referência da
Portaria SGD/MGI nº 1.070/2023
Fator "K" 2.28</t>
  </si>
  <si>
    <t>26
Proposta de Fornecedor
Empresa M&amp;L Techologies</t>
  </si>
  <si>
    <t>27
Proposta de Fornecedor
Empresa Stoneground</t>
  </si>
  <si>
    <t>28
Proposta de Fornecedor
Empresa WiseIT</t>
  </si>
  <si>
    <t>PADRÃO DE CÁLCULO - RECOMENDAÇÕES TCU/STJ - VALORES UNITÁRIOS</t>
  </si>
  <si>
    <t xml:space="preserve">MÉDIA
</t>
  </si>
  <si>
    <t xml:space="preserve">MEDIANA
</t>
  </si>
  <si>
    <t xml:space="preserve">DESVIO PADRÃO
</t>
  </si>
  <si>
    <t xml:space="preserve">CV - COEFICIENTE DE VARIAÇÃO  
</t>
  </si>
  <si>
    <t>DISPERSÃO
BAIXA &lt;= 25% =&gt; Valor Médio
ALTA CV &gt; 25% =&gt; Mediana</t>
  </si>
  <si>
    <t>Solução de Gerenciamento.</t>
  </si>
  <si>
    <t>Solução de Controle de Acesso à Rede.</t>
  </si>
  <si>
    <t>Switch Spine.</t>
  </si>
  <si>
    <t>Switch Leaf.</t>
  </si>
  <si>
    <t>Switch de Distribuição.</t>
  </si>
  <si>
    <t>Switch de Acesso.</t>
  </si>
  <si>
    <t>GBIC 10Gbps.</t>
  </si>
  <si>
    <t>GBIC 25Gbps.</t>
  </si>
  <si>
    <t>GBIC 40Gbps.</t>
  </si>
  <si>
    <t>GBIC 100Gbps.</t>
  </si>
  <si>
    <t>Controladora Wireless.</t>
  </si>
  <si>
    <t>Ponto de Acesso WiFi 6.</t>
  </si>
  <si>
    <t>Solução de Gestão de Usuário WiFi.</t>
  </si>
  <si>
    <t>Serviços de Capacitação.</t>
  </si>
  <si>
    <t>13
UASG: 420001
Orgão: MIN. DA CULTURA
Edital: 00014/2023</t>
  </si>
  <si>
    <t>14
UASG: 50001
Orgão: STJ
Edital: 00139/2023</t>
  </si>
  <si>
    <t>15
UASG: 153103
Orgão: UFRN
Edital: 00070/2023</t>
  </si>
  <si>
    <t>16
UASG: 10001
Orgão: CAMARA DOS DEPUTADOS
Edital: 00082/2022</t>
  </si>
  <si>
    <t>17
UASG 158144
Órgão: INST.FED.DE EDUC.,CIENC.E TEC. MT
Edital: 00070/2022</t>
  </si>
  <si>
    <t>18
UASG 158134
Órgão: INST.FED.DE EDUC.,CIENC.E TEC. DE SERGIPE
Edital: 00079/2022</t>
  </si>
  <si>
    <t>19
UASG: 240123
Orgão: LNCC 
Edital: 00007/2022</t>
  </si>
  <si>
    <t>20
UASG 200005
Órgão: MINISTERIO DA JUSTICA E SEGURANCA PUBLICA-MJ
Edital: 00022/2022</t>
  </si>
  <si>
    <t>21
UASG: 925942
Orgão: TJPA
Edital: 00076/2022</t>
  </si>
  <si>
    <t>22
UASG 440001
Órgão: MINISTÉRIO DO MEIO AMBIENTEE
Edital: 00001/2019</t>
  </si>
  <si>
    <t>GBIC 01Gbps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</si>
</sst>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###,##0"/>
    <numFmt numFmtId="165" formatCode="_-* #,##0.0000_-;\-* #,##0.0000_-;_-* &quot;-&quot;??_-;_-@_-"/>
    <numFmt numFmtId="166" formatCode="mm/yyyy"/>
    <numFmt numFmtId="167" formatCode="0.00000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</font>
    <font>
      <b/>
      <sz val="9"/>
      <color theme="1"/>
      <name val="Calibri"/>
      <family val="2"/>
    </font>
    <font>
      <sz val="9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0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/>
    </xf>
    <xf numFmtId="0" fontId="3" fillId="0" borderId="18" xfId="0" applyFont="1" applyBorder="1" applyAlignment="1">
      <alignment horizontal="center" vertical="center" wrapText="1"/>
    </xf>
    <xf numFmtId="0" fontId="2" fillId="2" borderId="24" xfId="0" applyFont="1" applyFill="1" applyBorder="1" applyAlignment="1">
      <alignment vertical="center"/>
    </xf>
    <xf numFmtId="0" fontId="3" fillId="0" borderId="16" xfId="0" applyFont="1" applyBorder="1" applyAlignment="1">
      <alignment horizontal="center" vertical="top" wrapText="1"/>
    </xf>
    <xf numFmtId="0" fontId="3" fillId="0" borderId="22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0" fontId="2" fillId="2" borderId="23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43" fontId="2" fillId="0" borderId="1" xfId="1" applyFont="1" applyBorder="1" applyAlignment="1">
      <alignment vertical="center"/>
    </xf>
    <xf numFmtId="43" fontId="3" fillId="0" borderId="13" xfId="1" applyFont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43" fontId="2" fillId="0" borderId="1" xfId="1" applyFont="1" applyBorder="1" applyAlignment="1">
      <alignment horizontal="center" vertical="center"/>
    </xf>
    <xf numFmtId="10" fontId="2" fillId="0" borderId="1" xfId="2" applyNumberFormat="1" applyFont="1" applyBorder="1" applyAlignment="1">
      <alignment horizontal="center" vertical="center"/>
    </xf>
    <xf numFmtId="43" fontId="2" fillId="0" borderId="5" xfId="1" applyFont="1" applyBorder="1" applyAlignment="1">
      <alignment horizontal="center" vertical="center"/>
    </xf>
    <xf numFmtId="43" fontId="2" fillId="0" borderId="2" xfId="1" applyFont="1" applyFill="1" applyBorder="1" applyAlignment="1">
      <alignment horizontal="center" vertical="center"/>
    </xf>
    <xf numFmtId="43" fontId="2" fillId="0" borderId="2" xfId="1" applyFont="1" applyBorder="1" applyAlignment="1">
      <alignment horizontal="center" vertical="center"/>
    </xf>
    <xf numFmtId="43" fontId="4" fillId="0" borderId="2" xfId="1" applyFont="1" applyBorder="1" applyAlignment="1">
      <alignment horizontal="center" vertical="center"/>
    </xf>
    <xf numFmtId="43" fontId="2" fillId="0" borderId="19" xfId="1" applyFont="1" applyFill="1" applyBorder="1" applyAlignment="1">
      <alignment horizontal="center" vertical="center"/>
    </xf>
    <xf numFmtId="43" fontId="2" fillId="0" borderId="4" xfId="1" applyFont="1" applyFill="1" applyBorder="1" applyAlignment="1">
      <alignment horizontal="center" vertical="center"/>
    </xf>
    <xf numFmtId="43" fontId="2" fillId="0" borderId="1" xfId="1" applyFont="1" applyFill="1" applyBorder="1" applyAlignment="1">
      <alignment horizontal="center" vertical="center"/>
    </xf>
    <xf numFmtId="43" fontId="2" fillId="0" borderId="3" xfId="1" applyFont="1" applyFill="1" applyBorder="1" applyAlignment="1">
      <alignment horizontal="center" vertical="center"/>
    </xf>
    <xf numFmtId="43" fontId="2" fillId="0" borderId="4" xfId="1" applyFont="1" applyBorder="1" applyAlignment="1">
      <alignment horizontal="center" vertical="center"/>
    </xf>
    <xf numFmtId="43" fontId="4" fillId="0" borderId="1" xfId="1" applyFont="1" applyFill="1" applyBorder="1" applyAlignment="1">
      <alignment horizontal="center" vertical="center"/>
    </xf>
    <xf numFmtId="43" fontId="2" fillId="0" borderId="0" xfId="1" applyFont="1" applyAlignment="1">
      <alignment vertical="center"/>
    </xf>
    <xf numFmtId="43" fontId="4" fillId="0" borderId="1" xfId="1" applyFont="1" applyBorder="1" applyAlignment="1">
      <alignment horizontal="center" vertical="center"/>
    </xf>
    <xf numFmtId="43" fontId="3" fillId="0" borderId="17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164" fontId="2" fillId="3" borderId="1" xfId="0" applyNumberFormat="1" applyFont="1" applyFill="1" applyBorder="1" applyAlignment="1">
      <alignment horizontal="center" vertical="center"/>
    </xf>
    <xf numFmtId="10" fontId="2" fillId="0" borderId="1" xfId="2" applyNumberFormat="1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4" xfId="0" applyFont="1" applyBorder="1" applyAlignment="1">
      <alignment horizontal="center" vertical="center"/>
    </xf>
    <xf numFmtId="0" fontId="2" fillId="0" borderId="14" xfId="0" applyFont="1" applyBorder="1" applyAlignment="1">
      <alignment horizontal="justify" vertical="center" wrapText="1"/>
    </xf>
    <xf numFmtId="0" fontId="2" fillId="0" borderId="14" xfId="0" applyFont="1" applyBorder="1" applyAlignment="1">
      <alignment horizontal="center" vertical="center" wrapText="1"/>
    </xf>
    <xf numFmtId="164" fontId="2" fillId="3" borderId="14" xfId="0" applyNumberFormat="1" applyFont="1" applyFill="1" applyBorder="1" applyAlignment="1">
      <alignment horizontal="center" vertical="center"/>
    </xf>
    <xf numFmtId="43" fontId="3" fillId="0" borderId="15" xfId="1" applyFont="1" applyBorder="1" applyAlignment="1">
      <alignment vertical="center"/>
    </xf>
    <xf numFmtId="0" fontId="2" fillId="2" borderId="8" xfId="0" applyFont="1" applyFill="1" applyBorder="1" applyAlignment="1">
      <alignment vertical="center"/>
    </xf>
    <xf numFmtId="43" fontId="2" fillId="0" borderId="14" xfId="1" applyFont="1" applyBorder="1" applyAlignment="1">
      <alignment vertical="center"/>
    </xf>
    <xf numFmtId="10" fontId="2" fillId="0" borderId="14" xfId="2" applyNumberFormat="1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7" fontId="2" fillId="0" borderId="1" xfId="2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center" wrapText="1"/>
    </xf>
    <xf numFmtId="165" fontId="3" fillId="0" borderId="1" xfId="1" applyNumberFormat="1" applyFont="1" applyBorder="1" applyAlignment="1">
      <alignment horizontal="left" vertical="center" wrapText="1"/>
    </xf>
    <xf numFmtId="43" fontId="3" fillId="0" borderId="1" xfId="0" applyNumberFormat="1" applyFont="1" applyBorder="1" applyAlignment="1">
      <alignment vertical="center"/>
    </xf>
    <xf numFmtId="43" fontId="3" fillId="0" borderId="3" xfId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/>
    </xf>
    <xf numFmtId="0" fontId="2" fillId="0" borderId="30" xfId="0" applyFont="1" applyBorder="1" applyAlignment="1">
      <alignment vertical="center"/>
    </xf>
    <xf numFmtId="0" fontId="3" fillId="0" borderId="30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/>
    </xf>
  </cellXfs>
  <cellStyles count="3">
    <cellStyle name="Normal" xfId="0" builtinId="0"/>
    <cellStyle name="Porcentagem" xfId="2" builtinId="5"/>
    <cellStyle name="Vírgula" xfId="1" builtinId="3"/>
  </cellStyles>
  <dxfs count="2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5F46C-CF00-48A7-AAB0-E0D559229F49}">
  <sheetPr codeName="Planilha1"/>
  <dimension ref="A1:AO18"/>
  <sheetViews>
    <sheetView showGridLines="0" tabSelected="1" zoomScale="125" zoomScaleNormal="125" workbookViewId="0">
      <pane xSplit="6" topLeftCell="G1" activePane="topRight" state="frozen"/>
      <selection pane="topRight" activeCell="B3" sqref="B3"/>
    </sheetView>
  </sheetViews>
  <sheetFormatPr defaultColWidth="8.77734375" defaultRowHeight="12" x14ac:dyDescent="0.3"/>
  <cols>
    <col min="1" max="1" width="6" style="2" bestFit="1" customWidth="1"/>
    <col min="2" max="2" width="30.33203125" style="1" customWidth="1"/>
    <col min="3" max="4" width="9.44140625" style="1" bestFit="1" customWidth="1"/>
    <col min="5" max="5" width="16.77734375" style="1" bestFit="1" customWidth="1"/>
    <col min="6" max="6" width="17.44140625" style="1" bestFit="1" customWidth="1"/>
    <col min="7" max="7" width="1.77734375" style="1" customWidth="1"/>
    <col min="8" max="8" width="15.33203125" style="2" customWidth="1"/>
    <col min="9" max="9" width="14.44140625" style="1" customWidth="1"/>
    <col min="10" max="10" width="14.109375" style="1" customWidth="1"/>
    <col min="11" max="11" width="14.77734375" style="1" bestFit="1" customWidth="1"/>
    <col min="12" max="12" width="17.77734375" style="1" bestFit="1" customWidth="1"/>
    <col min="13" max="13" width="24.6640625" style="1" bestFit="1" customWidth="1"/>
    <col min="14" max="14" width="1.77734375" style="1" customWidth="1"/>
    <col min="15" max="17" width="21.6640625" style="1" customWidth="1"/>
    <col min="18" max="18" width="17.109375" style="1" customWidth="1"/>
    <col min="19" max="26" width="21.6640625" style="1" customWidth="1"/>
    <col min="27" max="27" width="20.33203125" style="1" bestFit="1" customWidth="1"/>
    <col min="28" max="29" width="21.6640625" style="1" customWidth="1"/>
    <col min="30" max="36" width="22.6640625" style="1" customWidth="1"/>
    <col min="37" max="37" width="1.33203125" style="1" customWidth="1"/>
    <col min="38" max="40" width="8.77734375" style="1"/>
    <col min="41" max="41" width="11.109375" style="1" bestFit="1" customWidth="1"/>
    <col min="42" max="16384" width="8.77734375" style="1"/>
  </cols>
  <sheetData>
    <row r="1" spans="1:41" x14ac:dyDescent="0.3">
      <c r="A1" s="70"/>
      <c r="B1" s="64"/>
      <c r="C1" s="64"/>
      <c r="D1" s="64"/>
      <c r="E1" s="64"/>
      <c r="F1" s="61"/>
      <c r="G1" s="64"/>
      <c r="H1" s="63" t="s">
        <v>71</v>
      </c>
      <c r="I1" s="64"/>
      <c r="J1" s="65"/>
      <c r="K1" s="65"/>
      <c r="L1" s="65"/>
      <c r="M1" s="66"/>
      <c r="N1" s="61"/>
      <c r="O1" s="58" t="s">
        <v>37</v>
      </c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</row>
    <row r="2" spans="1:41" ht="60" x14ac:dyDescent="0.3">
      <c r="A2" s="67" t="s">
        <v>31</v>
      </c>
      <c r="B2" s="67" t="s">
        <v>32</v>
      </c>
      <c r="C2" s="67" t="s">
        <v>33</v>
      </c>
      <c r="D2" s="62" t="s">
        <v>34</v>
      </c>
      <c r="E2" s="68" t="s">
        <v>36</v>
      </c>
      <c r="F2" s="69"/>
      <c r="G2" s="59"/>
      <c r="H2" s="62" t="s">
        <v>35</v>
      </c>
      <c r="I2" s="62" t="s">
        <v>72</v>
      </c>
      <c r="J2" s="62" t="s">
        <v>73</v>
      </c>
      <c r="K2" s="62" t="s">
        <v>74</v>
      </c>
      <c r="L2" s="62" t="s">
        <v>75</v>
      </c>
      <c r="M2" s="62" t="s">
        <v>76</v>
      </c>
      <c r="N2" s="59"/>
      <c r="O2" s="52" t="s">
        <v>43</v>
      </c>
      <c r="P2" s="52" t="s">
        <v>44</v>
      </c>
      <c r="Q2" s="52" t="s">
        <v>45</v>
      </c>
      <c r="R2" s="52" t="s">
        <v>46</v>
      </c>
      <c r="S2" s="52" t="s">
        <v>47</v>
      </c>
      <c r="T2" s="52" t="s">
        <v>48</v>
      </c>
      <c r="U2" s="52" t="s">
        <v>49</v>
      </c>
      <c r="V2" s="52" t="s">
        <v>50</v>
      </c>
      <c r="W2" s="52" t="s">
        <v>51</v>
      </c>
      <c r="X2" s="52" t="s">
        <v>52</v>
      </c>
      <c r="Y2" s="52" t="s">
        <v>53</v>
      </c>
      <c r="Z2" s="52" t="s">
        <v>54</v>
      </c>
      <c r="AA2" s="52" t="s">
        <v>91</v>
      </c>
      <c r="AB2" s="52" t="s">
        <v>92</v>
      </c>
      <c r="AC2" s="52" t="s">
        <v>93</v>
      </c>
      <c r="AD2" s="52" t="s">
        <v>94</v>
      </c>
      <c r="AE2" s="52" t="s">
        <v>95</v>
      </c>
      <c r="AF2" s="52" t="s">
        <v>96</v>
      </c>
      <c r="AG2" s="52" t="s">
        <v>97</v>
      </c>
      <c r="AH2" s="52" t="s">
        <v>98</v>
      </c>
      <c r="AI2" s="52" t="s">
        <v>99</v>
      </c>
      <c r="AJ2" s="52" t="s">
        <v>100</v>
      </c>
      <c r="AK2" s="59"/>
    </row>
    <row r="3" spans="1:41" x14ac:dyDescent="0.3">
      <c r="A3" s="13">
        <v>1</v>
      </c>
      <c r="B3" s="14" t="s">
        <v>77</v>
      </c>
      <c r="C3" s="15" t="s">
        <v>0</v>
      </c>
      <c r="D3" s="16">
        <v>1</v>
      </c>
      <c r="E3" s="17">
        <f t="shared" ref="E3:E17" si="0">ROUNDDOWN(IF(L3&lt;=25%,I3,J3),0)</f>
        <v>506211</v>
      </c>
      <c r="F3" s="56">
        <f t="shared" ref="F3:F17" si="1">E3*D3</f>
        <v>506211</v>
      </c>
      <c r="G3" s="59"/>
      <c r="H3" s="13">
        <f t="shared" ref="H3:H17" si="2">COUNT(O3:AJ3)</f>
        <v>5</v>
      </c>
      <c r="I3" s="20">
        <f t="shared" ref="I3:I17" si="3">AVERAGE(O3:AJ3)</f>
        <v>506211.1088704</v>
      </c>
      <c r="J3" s="20">
        <f t="shared" ref="J3:J17" si="4">MEDIAN(O3:AJ3)</f>
        <v>541945</v>
      </c>
      <c r="K3" s="20">
        <f t="shared" ref="K3:K17" si="5">STDEV(N3:AJ3)</f>
        <v>109482.05174558844</v>
      </c>
      <c r="L3" s="21">
        <f t="shared" ref="L3:L17" si="6">K3/I3</f>
        <v>0.21627745781773824</v>
      </c>
      <c r="M3" s="60" t="str">
        <f>IF(L3&lt;=25%,"Baixa, valor médio coletado.","Alta, valor da mediana coletado.")</f>
        <v>Baixa, valor médio coletado.</v>
      </c>
      <c r="N3" s="59"/>
      <c r="O3" s="20">
        <f>200000+400000</f>
        <v>600000</v>
      </c>
      <c r="P3" s="28">
        <f>2150*(SUM(D5:D8)+D14+D15)</f>
        <v>608450</v>
      </c>
      <c r="Q3" s="20"/>
      <c r="R3" s="33">
        <f>1915*(SUM(D5:D8)+D14+D15)</f>
        <v>541945</v>
      </c>
      <c r="S3" s="20"/>
      <c r="T3" s="20">
        <f>1320*(SUM(D5:D8)+D14+D15)</f>
        <v>373560</v>
      </c>
      <c r="U3" s="20"/>
      <c r="V3" s="20"/>
      <c r="W3" s="20"/>
      <c r="X3" s="20"/>
      <c r="Y3" s="28"/>
      <c r="Z3" s="28"/>
      <c r="AA3" s="28"/>
      <c r="AB3" s="28"/>
      <c r="AC3" s="28"/>
      <c r="AD3" s="28">
        <f>(366625.13)*(1+(11.04/100))</f>
        <v>407100.544352</v>
      </c>
      <c r="AE3" s="28"/>
      <c r="AF3" s="28"/>
      <c r="AG3" s="28"/>
      <c r="AH3" s="28"/>
      <c r="AI3" s="28"/>
      <c r="AJ3" s="28"/>
      <c r="AK3" s="59"/>
    </row>
    <row r="4" spans="1:41" x14ac:dyDescent="0.3">
      <c r="A4" s="13">
        <v>2</v>
      </c>
      <c r="B4" s="14" t="s">
        <v>78</v>
      </c>
      <c r="C4" s="15" t="s">
        <v>0</v>
      </c>
      <c r="D4" s="16">
        <v>1</v>
      </c>
      <c r="E4" s="17">
        <f t="shared" si="0"/>
        <v>625604</v>
      </c>
      <c r="F4" s="56">
        <f t="shared" si="1"/>
        <v>625604</v>
      </c>
      <c r="G4" s="59"/>
      <c r="H4" s="13">
        <f t="shared" si="2"/>
        <v>5</v>
      </c>
      <c r="I4" s="20">
        <f t="shared" si="3"/>
        <v>625604.67697428574</v>
      </c>
      <c r="J4" s="20">
        <f t="shared" si="4"/>
        <v>665000</v>
      </c>
      <c r="K4" s="20">
        <f t="shared" si="5"/>
        <v>149369.59802096512</v>
      </c>
      <c r="L4" s="21">
        <f t="shared" si="6"/>
        <v>0.23876036020604216</v>
      </c>
      <c r="M4" s="60" t="str">
        <f t="shared" ref="M4:M17" si="7">IF(L4&lt;=25%,"Baixa, valor médio coletado.","Alta, valor da mediana coletado.")</f>
        <v>Baixa, valor médio coletado.</v>
      </c>
      <c r="N4" s="59"/>
      <c r="O4" s="28">
        <f>275000+390000</f>
        <v>665000</v>
      </c>
      <c r="P4" s="20">
        <f>87500*6</f>
        <v>525000</v>
      </c>
      <c r="Q4" s="20"/>
      <c r="R4" s="20"/>
      <c r="S4" s="20"/>
      <c r="T4" s="20">
        <f>134452*6</f>
        <v>806712</v>
      </c>
      <c r="U4" s="28">
        <f>(300000/4200)*6000</f>
        <v>428571.42857142858</v>
      </c>
      <c r="V4" s="20"/>
      <c r="W4" s="20"/>
      <c r="X4" s="20"/>
      <c r="Y4" s="28"/>
      <c r="Z4" s="28"/>
      <c r="AA4" s="28">
        <f>(642417)*(1+(9.39/100))</f>
        <v>702739.95630000008</v>
      </c>
      <c r="AB4" s="28"/>
      <c r="AC4" s="28"/>
      <c r="AD4" s="28"/>
      <c r="AE4" s="28"/>
      <c r="AF4" s="28"/>
      <c r="AG4" s="28"/>
      <c r="AH4" s="28"/>
      <c r="AI4" s="28"/>
      <c r="AJ4" s="28"/>
      <c r="AK4" s="59"/>
    </row>
    <row r="5" spans="1:41" x14ac:dyDescent="0.3">
      <c r="A5" s="13">
        <v>3</v>
      </c>
      <c r="B5" s="14" t="s">
        <v>79</v>
      </c>
      <c r="C5" s="15" t="s">
        <v>0</v>
      </c>
      <c r="D5" s="16">
        <v>2</v>
      </c>
      <c r="E5" s="17">
        <f t="shared" si="0"/>
        <v>209374</v>
      </c>
      <c r="F5" s="56">
        <f t="shared" si="1"/>
        <v>418748</v>
      </c>
      <c r="G5" s="59"/>
      <c r="H5" s="13">
        <f t="shared" si="2"/>
        <v>4</v>
      </c>
      <c r="I5" s="20">
        <f t="shared" si="3"/>
        <v>217703.96422134002</v>
      </c>
      <c r="J5" s="20">
        <f t="shared" si="4"/>
        <v>209374.48064268002</v>
      </c>
      <c r="K5" s="20">
        <f t="shared" si="5"/>
        <v>67178.564020486883</v>
      </c>
      <c r="L5" s="21">
        <f t="shared" si="6"/>
        <v>0.30857758727896345</v>
      </c>
      <c r="M5" s="60" t="str">
        <f t="shared" si="7"/>
        <v>Alta, valor da mediana coletado.</v>
      </c>
      <c r="N5" s="59"/>
      <c r="O5" s="20"/>
      <c r="P5" s="20"/>
      <c r="Q5" s="20"/>
      <c r="R5" s="28"/>
      <c r="S5" s="20"/>
      <c r="T5" s="20"/>
      <c r="U5" s="20"/>
      <c r="V5" s="20">
        <f>73080+85920</f>
        <v>159000</v>
      </c>
      <c r="W5" s="20"/>
      <c r="X5" s="20"/>
      <c r="Y5" s="28"/>
      <c r="Z5" s="28"/>
      <c r="AA5" s="28">
        <f>150576*1.0834706</f>
        <v>163144.6690656</v>
      </c>
      <c r="AB5" s="28"/>
      <c r="AC5" s="28"/>
      <c r="AD5" s="28"/>
      <c r="AE5" s="28"/>
      <c r="AF5" s="28"/>
      <c r="AG5" s="28">
        <f>(233825.44)*1.0931415</f>
        <v>255604.29221976001</v>
      </c>
      <c r="AH5" s="28"/>
      <c r="AI5" s="28">
        <f>(258000)*1.1359182</f>
        <v>293066.89560000005</v>
      </c>
      <c r="AJ5" s="28"/>
      <c r="AK5" s="59"/>
    </row>
    <row r="6" spans="1:41" x14ac:dyDescent="0.3">
      <c r="A6" s="13">
        <v>4</v>
      </c>
      <c r="B6" s="14" t="s">
        <v>80</v>
      </c>
      <c r="C6" s="15" t="s">
        <v>0</v>
      </c>
      <c r="D6" s="16">
        <v>8</v>
      </c>
      <c r="E6" s="17">
        <f t="shared" si="0"/>
        <v>198501</v>
      </c>
      <c r="F6" s="56">
        <f t="shared" si="1"/>
        <v>1588008</v>
      </c>
      <c r="G6" s="59"/>
      <c r="H6" s="13">
        <f t="shared" si="2"/>
        <v>10</v>
      </c>
      <c r="I6" s="20">
        <f t="shared" si="3"/>
        <v>195673.21136660202</v>
      </c>
      <c r="J6" s="20">
        <f t="shared" si="4"/>
        <v>198501.45874931</v>
      </c>
      <c r="K6" s="20">
        <f t="shared" si="5"/>
        <v>52499.270449004856</v>
      </c>
      <c r="L6" s="21">
        <f t="shared" si="6"/>
        <v>0.26830075554208216</v>
      </c>
      <c r="M6" s="60" t="str">
        <f t="shared" si="7"/>
        <v>Alta, valor da mediana coletado.</v>
      </c>
      <c r="N6" s="59"/>
      <c r="O6" s="20">
        <v>120000</v>
      </c>
      <c r="P6" s="20">
        <v>208500</v>
      </c>
      <c r="Q6" s="20"/>
      <c r="R6" s="28">
        <v>180000</v>
      </c>
      <c r="S6" s="20"/>
      <c r="T6" s="20"/>
      <c r="U6" s="20">
        <v>278896.92</v>
      </c>
      <c r="V6" s="20">
        <f>69502.2+73497.8</f>
        <v>143000</v>
      </c>
      <c r="W6" s="20"/>
      <c r="X6" s="20"/>
      <c r="Y6" s="28"/>
      <c r="Z6" s="28"/>
      <c r="AA6" s="28">
        <f>138029*1.0834706</f>
        <v>149550.36344740001</v>
      </c>
      <c r="AB6" s="28">
        <f>(152000+30000)*1.0834706</f>
        <v>197191.64920000001</v>
      </c>
      <c r="AC6" s="28"/>
      <c r="AD6" s="28"/>
      <c r="AE6" s="28">
        <f>251000*1.1077404</f>
        <v>278042.84039999999</v>
      </c>
      <c r="AF6" s="28"/>
      <c r="AG6" s="28">
        <f>(182786.28)*1.0931415</f>
        <v>199811.26829862001</v>
      </c>
      <c r="AH6" s="28"/>
      <c r="AI6" s="28">
        <f>(177600)*1.1359182</f>
        <v>201739.07232000001</v>
      </c>
      <c r="AJ6" s="28"/>
      <c r="AK6" s="59"/>
    </row>
    <row r="7" spans="1:41" x14ac:dyDescent="0.3">
      <c r="A7" s="13">
        <v>5</v>
      </c>
      <c r="B7" s="14" t="s">
        <v>81</v>
      </c>
      <c r="C7" s="15" t="s">
        <v>0</v>
      </c>
      <c r="D7" s="16">
        <v>2</v>
      </c>
      <c r="E7" s="17">
        <f t="shared" si="0"/>
        <v>175060</v>
      </c>
      <c r="F7" s="56">
        <f t="shared" si="1"/>
        <v>350120</v>
      </c>
      <c r="G7" s="59"/>
      <c r="H7" s="13">
        <f t="shared" si="2"/>
        <v>10</v>
      </c>
      <c r="I7" s="20">
        <f t="shared" si="3"/>
        <v>171418.82668920001</v>
      </c>
      <c r="J7" s="20">
        <f t="shared" si="4"/>
        <v>175060</v>
      </c>
      <c r="K7" s="20">
        <f t="shared" si="5"/>
        <v>67334.376710238677</v>
      </c>
      <c r="L7" s="21">
        <f t="shared" si="6"/>
        <v>0.39280619294123881</v>
      </c>
      <c r="M7" s="60" t="str">
        <f t="shared" si="7"/>
        <v>Alta, valor da mediana coletado.</v>
      </c>
      <c r="N7" s="59"/>
      <c r="O7" s="20"/>
      <c r="P7" s="20">
        <f>76000*2</f>
        <v>152000</v>
      </c>
      <c r="Q7" s="20">
        <f>94670*2</f>
        <v>189340</v>
      </c>
      <c r="R7" s="28">
        <f>85060*2</f>
        <v>170120</v>
      </c>
      <c r="S7" s="20"/>
      <c r="T7" s="20">
        <v>197679.5</v>
      </c>
      <c r="U7" s="20">
        <v>270594.96999999997</v>
      </c>
      <c r="V7" s="20"/>
      <c r="W7" s="20">
        <v>82716.05</v>
      </c>
      <c r="X7" s="20"/>
      <c r="Y7" s="28">
        <f>(48100)*1.0834706</f>
        <v>52114.935860000005</v>
      </c>
      <c r="Z7" s="28"/>
      <c r="AA7" s="28"/>
      <c r="AB7" s="28"/>
      <c r="AC7" s="28">
        <v>180000</v>
      </c>
      <c r="AD7" s="28"/>
      <c r="AE7" s="28"/>
      <c r="AF7" s="28"/>
      <c r="AG7" s="28"/>
      <c r="AH7" s="28">
        <f>(225070)*1.1419386</f>
        <v>257016.12070200001</v>
      </c>
      <c r="AI7" s="28">
        <f>(143150)*1.1359182</f>
        <v>162606.69033000001</v>
      </c>
      <c r="AJ7" s="28"/>
      <c r="AK7" s="59"/>
    </row>
    <row r="8" spans="1:41" x14ac:dyDescent="0.3">
      <c r="A8" s="13">
        <v>6</v>
      </c>
      <c r="B8" s="14" t="s">
        <v>82</v>
      </c>
      <c r="C8" s="15" t="s">
        <v>0</v>
      </c>
      <c r="D8" s="16">
        <v>70</v>
      </c>
      <c r="E8" s="17">
        <f t="shared" si="0"/>
        <v>42800</v>
      </c>
      <c r="F8" s="56">
        <f t="shared" si="1"/>
        <v>2996000</v>
      </c>
      <c r="G8" s="59"/>
      <c r="H8" s="13">
        <f t="shared" si="2"/>
        <v>13</v>
      </c>
      <c r="I8" s="20">
        <f t="shared" si="3"/>
        <v>44979.954783799389</v>
      </c>
      <c r="J8" s="20">
        <f t="shared" si="4"/>
        <v>42800</v>
      </c>
      <c r="K8" s="20">
        <f t="shared" si="5"/>
        <v>20429.013361149209</v>
      </c>
      <c r="L8" s="21">
        <f t="shared" si="6"/>
        <v>0.45418038900535329</v>
      </c>
      <c r="M8" s="60" t="str">
        <f t="shared" si="7"/>
        <v>Alta, valor da mediana coletado.</v>
      </c>
      <c r="N8" s="59"/>
      <c r="O8" s="20">
        <v>29000</v>
      </c>
      <c r="P8" s="20">
        <f>21400*2</f>
        <v>42800</v>
      </c>
      <c r="Q8" s="20">
        <v>56600</v>
      </c>
      <c r="R8" s="28">
        <f>19300*2</f>
        <v>38600</v>
      </c>
      <c r="S8" s="20"/>
      <c r="T8" s="20">
        <f>24545*2</f>
        <v>49090</v>
      </c>
      <c r="U8" s="20">
        <f>11285.32*2</f>
        <v>22570.639999999999</v>
      </c>
      <c r="V8" s="20"/>
      <c r="W8" s="20">
        <v>43209.88</v>
      </c>
      <c r="X8" s="20"/>
      <c r="Y8" s="28">
        <f>(23474)*1.0834706</f>
        <v>25433.3888644</v>
      </c>
      <c r="Z8" s="28"/>
      <c r="AA8" s="28">
        <f>37540*1.0834706</f>
        <v>40673.486324000005</v>
      </c>
      <c r="AB8" s="28">
        <f xml:space="preserve"> (43640.3+ 13774.02)*1.0834706</f>
        <v>62206.727738992013</v>
      </c>
      <c r="AC8" s="28">
        <v>23000</v>
      </c>
      <c r="AD8" s="28"/>
      <c r="AE8" s="28">
        <f>48500*1.1077404</f>
        <v>53725.409399999997</v>
      </c>
      <c r="AF8" s="28"/>
      <c r="AG8" s="28"/>
      <c r="AH8" s="28">
        <f>(85670)*1.1419386</f>
        <v>97829.879862000002</v>
      </c>
      <c r="AI8" s="28"/>
      <c r="AJ8" s="28"/>
      <c r="AK8" s="59"/>
    </row>
    <row r="9" spans="1:41" x14ac:dyDescent="0.3">
      <c r="A9" s="13">
        <v>7</v>
      </c>
      <c r="B9" s="14" t="s">
        <v>101</v>
      </c>
      <c r="C9" s="15" t="s">
        <v>0</v>
      </c>
      <c r="D9" s="16">
        <v>192</v>
      </c>
      <c r="E9" s="17">
        <f t="shared" si="0"/>
        <v>846</v>
      </c>
      <c r="F9" s="56">
        <f t="shared" si="1"/>
        <v>162432</v>
      </c>
      <c r="G9" s="59"/>
      <c r="H9" s="13">
        <f t="shared" ref="H9" si="8">COUNT(O9:AJ9)</f>
        <v>4</v>
      </c>
      <c r="I9" s="20">
        <f t="shared" ref="I9" si="9">AVERAGE(O9:AJ9)</f>
        <v>858.97023610000008</v>
      </c>
      <c r="J9" s="20">
        <f t="shared" ref="J9" si="10">MEDIAN(O9:AJ9)</f>
        <v>846</v>
      </c>
      <c r="K9" s="20">
        <f t="shared" ref="K9" si="11">STDEV(N9:AJ9)</f>
        <v>505.02172616835293</v>
      </c>
      <c r="L9" s="21">
        <f t="shared" ref="L9" si="12">K9/I9</f>
        <v>0.58793856287886448</v>
      </c>
      <c r="M9" s="60" t="str">
        <f t="shared" ref="M9" si="13">IF(L9&lt;=25%,"Baixa, valor médio coletado.","Alta, valor da mediana coletado.")</f>
        <v>Alta, valor da mediana coletado.</v>
      </c>
      <c r="N9" s="59"/>
      <c r="O9" s="20"/>
      <c r="P9" s="20"/>
      <c r="Q9" s="20"/>
      <c r="R9" s="28">
        <v>619</v>
      </c>
      <c r="S9" s="20"/>
      <c r="T9" s="20"/>
      <c r="U9" s="20"/>
      <c r="V9" s="20">
        <v>1447.01</v>
      </c>
      <c r="W9" s="20"/>
      <c r="X9" s="20"/>
      <c r="Y9" s="28">
        <f>(274)*1.0834706</f>
        <v>296.87094440000004</v>
      </c>
      <c r="Z9" s="28"/>
      <c r="AA9" s="28"/>
      <c r="AB9" s="28"/>
      <c r="AC9" s="28">
        <v>1073</v>
      </c>
      <c r="AD9" s="28"/>
      <c r="AE9" s="28"/>
      <c r="AF9" s="28"/>
      <c r="AG9" s="28"/>
      <c r="AH9" s="28"/>
      <c r="AI9" s="28"/>
      <c r="AJ9" s="28"/>
      <c r="AK9" s="59"/>
    </row>
    <row r="10" spans="1:41" x14ac:dyDescent="0.3">
      <c r="A10" s="13">
        <v>8</v>
      </c>
      <c r="B10" s="14" t="s">
        <v>83</v>
      </c>
      <c r="C10" s="15" t="s">
        <v>0</v>
      </c>
      <c r="D10" s="16">
        <v>192</v>
      </c>
      <c r="E10" s="17">
        <f t="shared" si="0"/>
        <v>1229</v>
      </c>
      <c r="F10" s="56">
        <f t="shared" si="1"/>
        <v>235968</v>
      </c>
      <c r="G10" s="59"/>
      <c r="H10" s="13">
        <f t="shared" si="2"/>
        <v>12</v>
      </c>
      <c r="I10" s="20">
        <f t="shared" si="3"/>
        <v>1894.5924465328335</v>
      </c>
      <c r="J10" s="20">
        <f t="shared" si="4"/>
        <v>1229.7550100000001</v>
      </c>
      <c r="K10" s="20">
        <f t="shared" si="5"/>
        <v>1606.6247855237689</v>
      </c>
      <c r="L10" s="21">
        <f t="shared" si="6"/>
        <v>0.84800548448503799</v>
      </c>
      <c r="M10" s="60" t="str">
        <f t="shared" si="7"/>
        <v>Alta, valor da mediana coletado.</v>
      </c>
      <c r="N10" s="59"/>
      <c r="O10" s="20">
        <f>585+85</f>
        <v>670</v>
      </c>
      <c r="P10" s="20"/>
      <c r="Q10" s="20"/>
      <c r="R10" s="20">
        <v>1210</v>
      </c>
      <c r="S10" s="20">
        <v>4200</v>
      </c>
      <c r="T10" s="20">
        <v>4032</v>
      </c>
      <c r="U10" s="20">
        <v>700.15</v>
      </c>
      <c r="V10" s="20"/>
      <c r="W10" s="20">
        <f>1604.94+246.91</f>
        <v>1851.8500000000001</v>
      </c>
      <c r="X10" s="20"/>
      <c r="Y10" s="28">
        <f>(690)*1.0834706</f>
        <v>747.59471400000007</v>
      </c>
      <c r="Z10" s="28"/>
      <c r="AA10" s="28">
        <f>150*1.0834706</f>
        <v>162.52059</v>
      </c>
      <c r="AB10" s="28">
        <f>(4512)*1.0834706</f>
        <v>4888.6193472000004</v>
      </c>
      <c r="AC10" s="28"/>
      <c r="AD10" s="28">
        <f>(670.67)*1.1359182</f>
        <v>761.82625919400004</v>
      </c>
      <c r="AE10" s="28"/>
      <c r="AF10" s="28"/>
      <c r="AG10" s="28"/>
      <c r="AH10" s="28">
        <f>(1980)*1.1419386</f>
        <v>2261.0384279999998</v>
      </c>
      <c r="AI10" s="28">
        <f>1100*1.1359182</f>
        <v>1249.5100200000002</v>
      </c>
      <c r="AJ10" s="28"/>
      <c r="AK10" s="59"/>
    </row>
    <row r="11" spans="1:41" x14ac:dyDescent="0.3">
      <c r="A11" s="13">
        <v>9</v>
      </c>
      <c r="B11" s="14" t="s">
        <v>84</v>
      </c>
      <c r="C11" s="15" t="s">
        <v>0</v>
      </c>
      <c r="D11" s="16">
        <f>D6*48</f>
        <v>384</v>
      </c>
      <c r="E11" s="17">
        <f t="shared" si="0"/>
        <v>2538</v>
      </c>
      <c r="F11" s="56">
        <f t="shared" si="1"/>
        <v>974592</v>
      </c>
      <c r="G11" s="59"/>
      <c r="H11" s="13">
        <f t="shared" si="2"/>
        <v>6</v>
      </c>
      <c r="I11" s="20">
        <f t="shared" si="3"/>
        <v>3336.8219667916669</v>
      </c>
      <c r="J11" s="20">
        <f t="shared" si="4"/>
        <v>2538.9191667750001</v>
      </c>
      <c r="K11" s="20">
        <f t="shared" si="5"/>
        <v>3233.7552603711333</v>
      </c>
      <c r="L11" s="21">
        <f t="shared" si="6"/>
        <v>0.96911231481743343</v>
      </c>
      <c r="M11" s="60" t="str">
        <f t="shared" si="7"/>
        <v>Alta, valor da mediana coletado.</v>
      </c>
      <c r="N11" s="59"/>
      <c r="O11" s="20"/>
      <c r="P11" s="20"/>
      <c r="Q11" s="20"/>
      <c r="R11" s="20"/>
      <c r="S11" s="20"/>
      <c r="T11" s="20"/>
      <c r="U11" s="20">
        <v>9006.6299999999992</v>
      </c>
      <c r="V11" s="20">
        <v>831.15</v>
      </c>
      <c r="W11" s="20"/>
      <c r="X11" s="20"/>
      <c r="Y11" s="28"/>
      <c r="Z11" s="28"/>
      <c r="AA11" s="28">
        <f>200*1.0834706</f>
        <v>216.69412</v>
      </c>
      <c r="AB11" s="28">
        <f>(4512)*1.0834706</f>
        <v>4888.6193472000004</v>
      </c>
      <c r="AC11" s="28"/>
      <c r="AD11" s="28">
        <f>(1820.25)*1.1359182</f>
        <v>2067.6551035500001</v>
      </c>
      <c r="AE11" s="28"/>
      <c r="AF11" s="28"/>
      <c r="AG11" s="28"/>
      <c r="AH11" s="28"/>
      <c r="AI11" s="28">
        <f>2650*1.1359182</f>
        <v>3010.1832300000001</v>
      </c>
      <c r="AJ11" s="28"/>
      <c r="AK11" s="59"/>
    </row>
    <row r="12" spans="1:41" x14ac:dyDescent="0.3">
      <c r="A12" s="13">
        <v>10</v>
      </c>
      <c r="B12" s="14" t="s">
        <v>85</v>
      </c>
      <c r="C12" s="15" t="s">
        <v>0</v>
      </c>
      <c r="D12" s="16">
        <v>40</v>
      </c>
      <c r="E12" s="17">
        <f t="shared" si="0"/>
        <v>7098</v>
      </c>
      <c r="F12" s="56">
        <f t="shared" si="1"/>
        <v>283920</v>
      </c>
      <c r="G12" s="59"/>
      <c r="H12" s="13">
        <f t="shared" si="2"/>
        <v>4</v>
      </c>
      <c r="I12" s="20">
        <f t="shared" si="3"/>
        <v>6637.714596025</v>
      </c>
      <c r="J12" s="20">
        <f t="shared" si="4"/>
        <v>7098.59</v>
      </c>
      <c r="K12" s="20">
        <f t="shared" si="5"/>
        <v>2269.3061152222886</v>
      </c>
      <c r="L12" s="21">
        <f t="shared" si="6"/>
        <v>0.34188064015003961</v>
      </c>
      <c r="M12" s="60" t="str">
        <f t="shared" si="7"/>
        <v>Alta, valor da mediana coletado.</v>
      </c>
      <c r="N12" s="59"/>
      <c r="O12" s="20"/>
      <c r="P12" s="20"/>
      <c r="Q12" s="20"/>
      <c r="R12" s="20"/>
      <c r="S12" s="20">
        <v>8000</v>
      </c>
      <c r="T12" s="20"/>
      <c r="U12" s="20">
        <v>6197.18</v>
      </c>
      <c r="V12" s="20"/>
      <c r="W12" s="20"/>
      <c r="X12" s="20"/>
      <c r="Y12" s="28"/>
      <c r="Z12" s="28"/>
      <c r="AA12" s="28"/>
      <c r="AB12" s="28"/>
      <c r="AC12" s="28"/>
      <c r="AD12" s="28">
        <f>(3195.5)*1.1359182</f>
        <v>3629.8266081000002</v>
      </c>
      <c r="AE12" s="28"/>
      <c r="AF12" s="28"/>
      <c r="AG12" s="28"/>
      <c r="AH12" s="28"/>
      <c r="AI12" s="28">
        <f>7680*1.1359182</f>
        <v>8723.8517760000013</v>
      </c>
      <c r="AJ12" s="28"/>
      <c r="AK12" s="59"/>
    </row>
    <row r="13" spans="1:41" x14ac:dyDescent="0.3">
      <c r="A13" s="13">
        <v>11</v>
      </c>
      <c r="B13" s="14" t="s">
        <v>86</v>
      </c>
      <c r="C13" s="15" t="s">
        <v>0</v>
      </c>
      <c r="D13" s="16">
        <v>40</v>
      </c>
      <c r="E13" s="17">
        <f t="shared" si="0"/>
        <v>5076</v>
      </c>
      <c r="F13" s="56">
        <f t="shared" si="1"/>
        <v>203040</v>
      </c>
      <c r="G13" s="59"/>
      <c r="H13" s="13">
        <f t="shared" si="2"/>
        <v>3</v>
      </c>
      <c r="I13" s="20">
        <f t="shared" si="3"/>
        <v>4652.4034293133336</v>
      </c>
      <c r="J13" s="20">
        <f t="shared" si="4"/>
        <v>5076.0597610000004</v>
      </c>
      <c r="K13" s="20">
        <f t="shared" si="5"/>
        <v>1990.6783459806743</v>
      </c>
      <c r="L13" s="21">
        <f t="shared" si="6"/>
        <v>0.42788171237215478</v>
      </c>
      <c r="M13" s="60" t="str">
        <f t="shared" si="7"/>
        <v>Alta, valor da mediana coletado.</v>
      </c>
      <c r="N13" s="59"/>
      <c r="O13" s="20"/>
      <c r="P13" s="20"/>
      <c r="Q13" s="20"/>
      <c r="R13" s="20"/>
      <c r="S13" s="20"/>
      <c r="T13" s="20"/>
      <c r="U13" s="20"/>
      <c r="V13" s="20">
        <v>2484</v>
      </c>
      <c r="W13" s="20"/>
      <c r="X13" s="20"/>
      <c r="Y13" s="28">
        <f>(4685)*1.0834706</f>
        <v>5076.0597610000004</v>
      </c>
      <c r="Z13" s="28"/>
      <c r="AA13" s="28"/>
      <c r="AB13" s="28"/>
      <c r="AC13" s="28"/>
      <c r="AD13" s="28">
        <f>(5631.7)*1.1359182</f>
        <v>6397.1505269400004</v>
      </c>
      <c r="AE13" s="28"/>
      <c r="AF13" s="28"/>
      <c r="AG13" s="28"/>
      <c r="AH13" s="28"/>
      <c r="AI13" s="28"/>
      <c r="AJ13" s="28"/>
      <c r="AK13" s="59"/>
    </row>
    <row r="14" spans="1:41" x14ac:dyDescent="0.3">
      <c r="A14" s="13">
        <v>12</v>
      </c>
      <c r="B14" s="14" t="s">
        <v>87</v>
      </c>
      <c r="C14" s="15" t="s">
        <v>11</v>
      </c>
      <c r="D14" s="16">
        <v>1</v>
      </c>
      <c r="E14" s="17">
        <f t="shared" si="0"/>
        <v>580000</v>
      </c>
      <c r="F14" s="56">
        <f t="shared" si="1"/>
        <v>580000</v>
      </c>
      <c r="G14" s="59"/>
      <c r="H14" s="13">
        <f t="shared" si="2"/>
        <v>3</v>
      </c>
      <c r="I14" s="20">
        <f t="shared" si="3"/>
        <v>543916.71842711116</v>
      </c>
      <c r="J14" s="20">
        <f t="shared" si="4"/>
        <v>580000</v>
      </c>
      <c r="K14" s="20">
        <f t="shared" si="5"/>
        <v>180109.8220513649</v>
      </c>
      <c r="L14" s="21">
        <f t="shared" si="6"/>
        <v>0.33113492553088519</v>
      </c>
      <c r="M14" s="60" t="str">
        <f t="shared" si="7"/>
        <v>Alta, valor da mediana coletado.</v>
      </c>
      <c r="N14" s="59"/>
      <c r="O14" s="20">
        <f>290000*2</f>
        <v>580000</v>
      </c>
      <c r="P14" s="28"/>
      <c r="Q14" s="20"/>
      <c r="R14" s="31"/>
      <c r="S14" s="20"/>
      <c r="T14" s="20"/>
      <c r="U14" s="20"/>
      <c r="V14" s="20"/>
      <c r="W14" s="20"/>
      <c r="X14" s="20"/>
      <c r="Y14" s="28"/>
      <c r="Z14" s="28"/>
      <c r="AA14" s="28"/>
      <c r="AB14" s="28"/>
      <c r="AC14" s="28"/>
      <c r="AD14" s="28"/>
      <c r="AE14" s="28"/>
      <c r="AF14" s="28">
        <f>950/36*60*1.1104*D15*2</f>
        <v>703253.33333333337</v>
      </c>
      <c r="AG14" s="28"/>
      <c r="AH14" s="28">
        <f>(152590)*1.1419386*2</f>
        <v>348496.821948</v>
      </c>
      <c r="AI14" s="28"/>
      <c r="AJ14" s="28"/>
      <c r="AK14" s="59"/>
      <c r="AO14" s="32"/>
    </row>
    <row r="15" spans="1:41" x14ac:dyDescent="0.3">
      <c r="A15" s="13">
        <v>13</v>
      </c>
      <c r="B15" s="14" t="s">
        <v>88</v>
      </c>
      <c r="C15" s="15" t="s">
        <v>0</v>
      </c>
      <c r="D15" s="16">
        <v>200</v>
      </c>
      <c r="E15" s="17">
        <f t="shared" si="0"/>
        <v>7517</v>
      </c>
      <c r="F15" s="56">
        <f t="shared" si="1"/>
        <v>1503400</v>
      </c>
      <c r="G15" s="59"/>
      <c r="H15" s="13">
        <f t="shared" si="2"/>
        <v>8</v>
      </c>
      <c r="I15" s="20">
        <f t="shared" si="3"/>
        <v>7765.5235099999991</v>
      </c>
      <c r="J15" s="20">
        <f t="shared" si="4"/>
        <v>7517.1882800000003</v>
      </c>
      <c r="K15" s="20">
        <f t="shared" si="5"/>
        <v>3252.6576965904783</v>
      </c>
      <c r="L15" s="21">
        <f t="shared" si="6"/>
        <v>0.41885877911539265</v>
      </c>
      <c r="M15" s="60" t="str">
        <f t="shared" si="7"/>
        <v>Alta, valor da mediana coletado.</v>
      </c>
      <c r="N15" s="59"/>
      <c r="O15" s="20">
        <v>6800</v>
      </c>
      <c r="P15" s="20">
        <v>5200</v>
      </c>
      <c r="Q15" s="20"/>
      <c r="R15" s="33">
        <v>3750</v>
      </c>
      <c r="S15" s="20"/>
      <c r="T15" s="20"/>
      <c r="U15" s="20">
        <v>5668.85</v>
      </c>
      <c r="V15" s="20"/>
      <c r="W15" s="20"/>
      <c r="X15" s="20">
        <v>14130</v>
      </c>
      <c r="Y15" s="28"/>
      <c r="Z15" s="28"/>
      <c r="AA15" s="28">
        <f>7600*1.0834706</f>
        <v>8234.3765600000006</v>
      </c>
      <c r="AB15" s="28"/>
      <c r="AC15" s="28"/>
      <c r="AD15" s="28"/>
      <c r="AE15" s="28"/>
      <c r="AF15" s="28">
        <f>(7350)*1.1359182</f>
        <v>8348.9987700000001</v>
      </c>
      <c r="AG15" s="28"/>
      <c r="AH15" s="28">
        <f>(8750)*1.1419386</f>
        <v>9991.9627500000006</v>
      </c>
      <c r="AI15" s="28"/>
      <c r="AJ15" s="28"/>
      <c r="AK15" s="59"/>
    </row>
    <row r="16" spans="1:41" x14ac:dyDescent="0.3">
      <c r="A16" s="13">
        <v>14</v>
      </c>
      <c r="B16" s="14" t="s">
        <v>89</v>
      </c>
      <c r="C16" s="15" t="s">
        <v>0</v>
      </c>
      <c r="D16" s="16">
        <v>200</v>
      </c>
      <c r="E16" s="17">
        <f t="shared" si="0"/>
        <v>3190</v>
      </c>
      <c r="F16" s="56">
        <f t="shared" si="1"/>
        <v>638000</v>
      </c>
      <c r="G16" s="59"/>
      <c r="H16" s="13">
        <f t="shared" si="2"/>
        <v>3</v>
      </c>
      <c r="I16" s="20">
        <f t="shared" si="3"/>
        <v>3001.8652222222227</v>
      </c>
      <c r="J16" s="20">
        <f t="shared" si="4"/>
        <v>3190.5416666666674</v>
      </c>
      <c r="K16" s="20">
        <f t="shared" si="5"/>
        <v>1020.6908230434657</v>
      </c>
      <c r="L16" s="21">
        <f t="shared" si="6"/>
        <v>0.34001887076324766</v>
      </c>
      <c r="M16" s="60" t="str">
        <f t="shared" si="7"/>
        <v>Alta, valor da mediana coletado.</v>
      </c>
      <c r="N16" s="59"/>
      <c r="O16" s="20">
        <v>1900</v>
      </c>
      <c r="P16" s="20"/>
      <c r="Q16" s="20"/>
      <c r="R16" s="33"/>
      <c r="S16" s="20"/>
      <c r="T16" s="20"/>
      <c r="U16" s="20"/>
      <c r="V16" s="20"/>
      <c r="W16" s="20"/>
      <c r="X16" s="20"/>
      <c r="Y16" s="28"/>
      <c r="Z16" s="28">
        <f>((1750/36)*60)*(1+(9.39/100))</f>
        <v>3190.5416666666674</v>
      </c>
      <c r="AA16" s="28"/>
      <c r="AB16" s="28"/>
      <c r="AC16" s="28"/>
      <c r="AD16" s="28"/>
      <c r="AE16" s="28"/>
      <c r="AF16" s="28"/>
      <c r="AG16" s="28"/>
      <c r="AH16" s="28"/>
      <c r="AI16" s="28"/>
      <c r="AJ16" s="28">
        <f>2970*1.3182</f>
        <v>3915.0540000000001</v>
      </c>
      <c r="AK16" s="59"/>
    </row>
    <row r="17" spans="1:37" x14ac:dyDescent="0.3">
      <c r="A17" s="13">
        <v>15</v>
      </c>
      <c r="B17" s="14" t="s">
        <v>90</v>
      </c>
      <c r="C17" s="15" t="s">
        <v>0</v>
      </c>
      <c r="D17" s="16">
        <v>1</v>
      </c>
      <c r="E17" s="17">
        <f t="shared" si="0"/>
        <v>72513</v>
      </c>
      <c r="F17" s="56">
        <f t="shared" si="1"/>
        <v>72513</v>
      </c>
      <c r="G17" s="59"/>
      <c r="H17" s="13">
        <f t="shared" si="2"/>
        <v>6</v>
      </c>
      <c r="I17" s="20">
        <f t="shared" si="3"/>
        <v>77466.085000000006</v>
      </c>
      <c r="J17" s="20">
        <f t="shared" si="4"/>
        <v>72513.024999999994</v>
      </c>
      <c r="K17" s="20">
        <f t="shared" si="5"/>
        <v>42824.796338894019</v>
      </c>
      <c r="L17" s="21">
        <f t="shared" si="6"/>
        <v>0.55281993841426236</v>
      </c>
      <c r="M17" s="60" t="str">
        <f t="shared" si="7"/>
        <v>Alta, valor da mediana coletado.</v>
      </c>
      <c r="N17" s="59"/>
      <c r="O17" s="20">
        <f>24000+45000</f>
        <v>69000</v>
      </c>
      <c r="P17" s="20"/>
      <c r="Q17" s="20"/>
      <c r="R17" s="33"/>
      <c r="S17" s="20"/>
      <c r="T17" s="20">
        <v>29253</v>
      </c>
      <c r="U17" s="20"/>
      <c r="V17" s="20"/>
      <c r="W17" s="20"/>
      <c r="X17" s="20"/>
      <c r="Y17" s="28">
        <f>(47400)*(1+(9.39/100))</f>
        <v>51850.860000000008</v>
      </c>
      <c r="Z17" s="28"/>
      <c r="AA17" s="28">
        <f>(139000/8*4)*(1+(9.39/100))</f>
        <v>76026.05</v>
      </c>
      <c r="AB17" s="28"/>
      <c r="AC17" s="28"/>
      <c r="AD17" s="28">
        <f>(74937.5)*(1+(11.04/100))</f>
        <v>83210.600000000006</v>
      </c>
      <c r="AE17" s="28"/>
      <c r="AF17" s="28"/>
      <c r="AG17" s="28"/>
      <c r="AH17" s="28"/>
      <c r="AI17" s="28">
        <f>210000/6*4*1.1104</f>
        <v>155456</v>
      </c>
      <c r="AJ17" s="28"/>
      <c r="AK17" s="59"/>
    </row>
    <row r="18" spans="1:37" ht="24" x14ac:dyDescent="0.3">
      <c r="A18" s="53"/>
      <c r="B18" s="53"/>
      <c r="C18" s="53"/>
      <c r="D18" s="53"/>
      <c r="E18" s="53" t="s">
        <v>42</v>
      </c>
      <c r="F18" s="55">
        <f>SUM(F3:F17)</f>
        <v>11138556</v>
      </c>
      <c r="H18" s="53"/>
    </row>
  </sheetData>
  <conditionalFormatting sqref="H3:H17">
    <cfRule type="cellIs" dxfId="1" priority="1" operator="lessThan">
      <formula>3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21E5F-C178-6C4E-B737-79B416DB5434}">
  <sheetPr codeName="Planilha3"/>
  <dimension ref="A1:M4"/>
  <sheetViews>
    <sheetView zoomScale="110" zoomScaleNormal="110" workbookViewId="0">
      <selection activeCell="E16" sqref="E16"/>
    </sheetView>
  </sheetViews>
  <sheetFormatPr defaultColWidth="10.77734375" defaultRowHeight="12" x14ac:dyDescent="0.3"/>
  <cols>
    <col min="1" max="1" width="15.77734375" style="1" bestFit="1" customWidth="1"/>
    <col min="2" max="13" width="20" style="1" customWidth="1"/>
    <col min="14" max="16384" width="10.77734375" style="1"/>
  </cols>
  <sheetData>
    <row r="1" spans="1:13" s="2" customFormat="1" ht="60" x14ac:dyDescent="0.3">
      <c r="A1" s="49" t="s">
        <v>41</v>
      </c>
      <c r="B1" s="48" t="s">
        <v>5</v>
      </c>
      <c r="C1" s="48" t="s">
        <v>6</v>
      </c>
      <c r="D1" s="48" t="s">
        <v>39</v>
      </c>
      <c r="E1" s="48" t="s">
        <v>2</v>
      </c>
      <c r="F1" s="48" t="s">
        <v>1</v>
      </c>
      <c r="G1" s="48" t="s">
        <v>4</v>
      </c>
      <c r="H1" s="48" t="s">
        <v>38</v>
      </c>
      <c r="I1" s="48" t="s">
        <v>8</v>
      </c>
      <c r="J1" s="48" t="s">
        <v>7</v>
      </c>
      <c r="K1" s="48" t="s">
        <v>9</v>
      </c>
      <c r="L1" s="48" t="s">
        <v>3</v>
      </c>
      <c r="M1" s="48" t="s">
        <v>10</v>
      </c>
    </row>
    <row r="2" spans="1:13" ht="36" x14ac:dyDescent="0.3">
      <c r="A2" s="49" t="s">
        <v>40</v>
      </c>
      <c r="B2" s="50">
        <v>45261</v>
      </c>
      <c r="C2" s="50">
        <v>45261</v>
      </c>
      <c r="D2" s="50">
        <v>45261</v>
      </c>
      <c r="E2" s="50">
        <v>45261</v>
      </c>
      <c r="F2" s="50">
        <v>45261</v>
      </c>
      <c r="G2" s="50">
        <v>44896</v>
      </c>
      <c r="H2" s="50">
        <v>45017</v>
      </c>
      <c r="I2" s="50">
        <v>44896</v>
      </c>
      <c r="J2" s="50">
        <v>45170</v>
      </c>
      <c r="K2" s="50">
        <v>44866</v>
      </c>
      <c r="L2" s="50">
        <v>44896</v>
      </c>
      <c r="M2" s="50"/>
    </row>
    <row r="3" spans="1:13" ht="24" x14ac:dyDescent="0.3">
      <c r="A3" s="54" t="s">
        <v>12</v>
      </c>
      <c r="B3" s="51">
        <v>8.3470599999999995E-4</v>
      </c>
      <c r="C3" s="51"/>
      <c r="D3" s="51"/>
      <c r="E3" s="51">
        <v>5.4984900000000003E-2</v>
      </c>
      <c r="F3" s="51">
        <v>8.3470600000000006E-2</v>
      </c>
      <c r="G3" s="51">
        <v>0.13591819999999999</v>
      </c>
      <c r="H3" s="51">
        <v>0.1077404</v>
      </c>
      <c r="I3" s="51">
        <v>0.13591819999999999</v>
      </c>
      <c r="J3" s="51">
        <v>9.3141500000000002E-2</v>
      </c>
      <c r="K3" s="51">
        <v>0.1419386</v>
      </c>
      <c r="L3" s="51">
        <v>0.13591819999999999</v>
      </c>
      <c r="M3" s="51"/>
    </row>
    <row r="4" spans="1:13" ht="24" x14ac:dyDescent="0.3">
      <c r="A4" s="54" t="s">
        <v>13</v>
      </c>
      <c r="B4" s="51">
        <f>9.39/100</f>
        <v>9.3900000000000011E-2</v>
      </c>
      <c r="C4" s="51">
        <f>9.39/100</f>
        <v>9.3900000000000011E-2</v>
      </c>
      <c r="D4" s="51">
        <f>9.39/100</f>
        <v>9.3900000000000011E-2</v>
      </c>
      <c r="E4" s="51">
        <f>9.39/100</f>
        <v>9.3900000000000011E-2</v>
      </c>
      <c r="F4" s="51"/>
      <c r="G4" s="51">
        <v>0.1104</v>
      </c>
      <c r="H4" s="51"/>
      <c r="I4" s="51">
        <v>0.1104</v>
      </c>
      <c r="J4" s="51"/>
      <c r="K4" s="51"/>
      <c r="L4" s="51">
        <v>0.1104</v>
      </c>
      <c r="M4" s="51">
        <v>0.31819999999999998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0D4F38-97CA-4C8D-BDE8-4F283B39E0E4}">
  <sheetPr codeName="Planilha4"/>
  <dimension ref="A1:AV21"/>
  <sheetViews>
    <sheetView showGridLines="0" topLeftCell="A2" zoomScaleNormal="100" workbookViewId="0">
      <pane xSplit="8" topLeftCell="I1" activePane="topRight" state="frozen"/>
      <selection pane="topRight" activeCell="C21" sqref="C21"/>
    </sheetView>
  </sheetViews>
  <sheetFormatPr defaultColWidth="8.77734375" defaultRowHeight="12" x14ac:dyDescent="0.3"/>
  <cols>
    <col min="1" max="1" width="8" style="1" bestFit="1" customWidth="1"/>
    <col min="2" max="2" width="6" style="2" bestFit="1" customWidth="1"/>
    <col min="3" max="3" width="36.33203125" style="1" bestFit="1" customWidth="1"/>
    <col min="4" max="4" width="9.44140625" style="1" bestFit="1" customWidth="1"/>
    <col min="5" max="5" width="17.6640625" style="1" customWidth="1"/>
    <col min="6" max="6" width="15.33203125" style="2" customWidth="1"/>
    <col min="7" max="7" width="16.77734375" style="1" bestFit="1" customWidth="1"/>
    <col min="8" max="8" width="17.44140625" style="1" bestFit="1" customWidth="1"/>
    <col min="9" max="9" width="1.77734375" style="1" customWidth="1"/>
    <col min="10" max="11" width="10.109375" style="1" bestFit="1" customWidth="1"/>
    <col min="12" max="12" width="14.77734375" style="1" bestFit="1" customWidth="1"/>
    <col min="13" max="13" width="17.77734375" style="1" bestFit="1" customWidth="1"/>
    <col min="14" max="14" width="24.6640625" style="1" bestFit="1" customWidth="1"/>
    <col min="15" max="15" width="1.77734375" style="1" customWidth="1"/>
    <col min="16" max="18" width="21.6640625" style="1" customWidth="1"/>
    <col min="19" max="19" width="17.109375" style="1" customWidth="1"/>
    <col min="20" max="27" width="21.6640625" style="1" customWidth="1"/>
    <col min="28" max="28" width="23.77734375" style="1" customWidth="1"/>
    <col min="29" max="29" width="20.33203125" style="1" bestFit="1" customWidth="1"/>
    <col min="30" max="31" width="21.6640625" style="1" customWidth="1"/>
    <col min="32" max="40" width="22.6640625" style="1" customWidth="1"/>
    <col min="41" max="41" width="16.33203125" style="1" customWidth="1"/>
    <col min="42" max="42" width="22.44140625" style="1" customWidth="1"/>
    <col min="43" max="43" width="18.77734375" style="1" customWidth="1"/>
    <col min="44" max="44" width="1.33203125" style="1" customWidth="1"/>
    <col min="45" max="47" width="8.77734375" style="1"/>
    <col min="48" max="48" width="11.109375" style="1" bestFit="1" customWidth="1"/>
    <col min="49" max="16384" width="8.77734375" style="1"/>
  </cols>
  <sheetData>
    <row r="1" spans="1:48" ht="12.6" thickBot="1" x14ac:dyDescent="0.35">
      <c r="J1" s="79" t="s">
        <v>71</v>
      </c>
      <c r="K1" s="79"/>
      <c r="L1" s="79"/>
      <c r="M1" s="79"/>
      <c r="N1" s="79"/>
      <c r="P1" s="35" t="s">
        <v>37</v>
      </c>
    </row>
    <row r="2" spans="1:48" ht="60.6" thickBot="1" x14ac:dyDescent="0.35">
      <c r="A2" s="3" t="s">
        <v>30</v>
      </c>
      <c r="B2" s="4" t="s">
        <v>31</v>
      </c>
      <c r="C2" s="4" t="s">
        <v>32</v>
      </c>
      <c r="D2" s="4" t="s">
        <v>33</v>
      </c>
      <c r="E2" s="5" t="s">
        <v>34</v>
      </c>
      <c r="F2" s="5" t="s">
        <v>35</v>
      </c>
      <c r="G2" s="71" t="s">
        <v>36</v>
      </c>
      <c r="H2" s="72"/>
      <c r="I2" s="6"/>
      <c r="J2" s="5" t="s">
        <v>72</v>
      </c>
      <c r="K2" s="5" t="s">
        <v>73</v>
      </c>
      <c r="L2" s="5" t="s">
        <v>74</v>
      </c>
      <c r="M2" s="5" t="s">
        <v>75</v>
      </c>
      <c r="N2" s="7" t="s">
        <v>76</v>
      </c>
      <c r="O2" s="8"/>
      <c r="P2" s="9" t="s">
        <v>43</v>
      </c>
      <c r="Q2" s="10" t="s">
        <v>44</v>
      </c>
      <c r="R2" s="10" t="s">
        <v>45</v>
      </c>
      <c r="S2" s="10" t="s">
        <v>46</v>
      </c>
      <c r="T2" s="10" t="s">
        <v>47</v>
      </c>
      <c r="U2" s="10" t="s">
        <v>48</v>
      </c>
      <c r="V2" s="10" t="s">
        <v>49</v>
      </c>
      <c r="W2" s="10" t="s">
        <v>50</v>
      </c>
      <c r="X2" s="10" t="s">
        <v>51</v>
      </c>
      <c r="Y2" s="10" t="s">
        <v>52</v>
      </c>
      <c r="Z2" s="10" t="s">
        <v>53</v>
      </c>
      <c r="AA2" s="10" t="s">
        <v>54</v>
      </c>
      <c r="AB2" s="10" t="s">
        <v>55</v>
      </c>
      <c r="AC2" s="10" t="s">
        <v>56</v>
      </c>
      <c r="AD2" s="10" t="s">
        <v>57</v>
      </c>
      <c r="AE2" s="10" t="s">
        <v>58</v>
      </c>
      <c r="AF2" s="10" t="s">
        <v>59</v>
      </c>
      <c r="AG2" s="10" t="s">
        <v>60</v>
      </c>
      <c r="AH2" s="10" t="s">
        <v>61</v>
      </c>
      <c r="AI2" s="10" t="s">
        <v>62</v>
      </c>
      <c r="AJ2" s="10" t="s">
        <v>63</v>
      </c>
      <c r="AK2" s="10" t="s">
        <v>64</v>
      </c>
      <c r="AL2" s="10" t="s">
        <v>65</v>
      </c>
      <c r="AM2" s="10" t="s">
        <v>66</v>
      </c>
      <c r="AN2" s="10" t="s">
        <v>67</v>
      </c>
      <c r="AO2" s="10" t="s">
        <v>68</v>
      </c>
      <c r="AP2" s="10" t="s">
        <v>69</v>
      </c>
      <c r="AQ2" s="11" t="s">
        <v>70</v>
      </c>
      <c r="AR2" s="12"/>
    </row>
    <row r="3" spans="1:48" ht="19.95" customHeight="1" x14ac:dyDescent="0.3">
      <c r="A3" s="73">
        <v>1</v>
      </c>
      <c r="B3" s="13">
        <v>1</v>
      </c>
      <c r="C3" s="14" t="s">
        <v>16</v>
      </c>
      <c r="D3" s="15" t="s">
        <v>0</v>
      </c>
      <c r="E3" s="36">
        <v>1</v>
      </c>
      <c r="F3" s="13">
        <f t="shared" ref="F3:F16" si="0">COUNT(P3:AL3)</f>
        <v>5</v>
      </c>
      <c r="G3" s="17">
        <f t="shared" ref="G3:G17" si="1">ROUNDDOWN(IF(M3&lt;=25%,J3,K3),0)</f>
        <v>446976</v>
      </c>
      <c r="H3" s="18">
        <f>G3*E3</f>
        <v>446976</v>
      </c>
      <c r="I3" s="19"/>
      <c r="J3" s="17">
        <f t="shared" ref="J3:J17" si="2">AVERAGE(P3:AQ3)</f>
        <v>446976.1088704</v>
      </c>
      <c r="K3" s="17">
        <f t="shared" ref="K3:K17" si="3">MEDIAN(P3:AQ3)</f>
        <v>436620</v>
      </c>
      <c r="L3" s="17">
        <f t="shared" ref="L3:L17" si="4">STDEV(O3:AQ3)</f>
        <v>109889.29623384183</v>
      </c>
      <c r="M3" s="37">
        <f t="shared" ref="M3:M17" si="5">L3/J3</f>
        <v>0.24585049190113215</v>
      </c>
      <c r="N3" s="38" t="str">
        <f t="shared" ref="N3:N17" si="6">IF(M3&lt;=25%,"Baixa, utilizar valor médio.","Alta, utilizar valor da mediana.")</f>
        <v>Baixa, utilizar valor médio.</v>
      </c>
      <c r="O3" s="19"/>
      <c r="P3" s="22">
        <f>200000+400000</f>
        <v>600000</v>
      </c>
      <c r="Q3" s="23">
        <f>2150*(SUM(E5:E8)+E13+E14)</f>
        <v>490200</v>
      </c>
      <c r="R3" s="24"/>
      <c r="S3" s="25">
        <f>1915*(SUM(E5:E8)+E13+E14)</f>
        <v>436620</v>
      </c>
      <c r="T3" s="24"/>
      <c r="U3" s="24">
        <f>1320*(SUM(E5:E8)+E13+E14)</f>
        <v>300960</v>
      </c>
      <c r="V3" s="24"/>
      <c r="W3" s="24"/>
      <c r="X3" s="24"/>
      <c r="Y3" s="24"/>
      <c r="Z3" s="23"/>
      <c r="AA3" s="23"/>
      <c r="AB3" s="23"/>
      <c r="AC3" s="23"/>
      <c r="AD3" s="23"/>
      <c r="AE3" s="23"/>
      <c r="AF3" s="23">
        <f>(366625.13)*(1+(11.04/100))</f>
        <v>407100.544352</v>
      </c>
      <c r="AG3" s="23"/>
      <c r="AH3" s="23"/>
      <c r="AI3" s="23"/>
      <c r="AJ3" s="23"/>
      <c r="AK3" s="26"/>
      <c r="AL3" s="23"/>
      <c r="AM3" s="23"/>
      <c r="AN3" s="23"/>
      <c r="AO3" s="23"/>
      <c r="AP3" s="23"/>
      <c r="AQ3" s="23"/>
      <c r="AR3" s="19"/>
    </row>
    <row r="4" spans="1:48" ht="31.95" customHeight="1" x14ac:dyDescent="0.3">
      <c r="A4" s="74"/>
      <c r="B4" s="13">
        <v>2</v>
      </c>
      <c r="C4" s="14" t="s">
        <v>17</v>
      </c>
      <c r="D4" s="15" t="s">
        <v>0</v>
      </c>
      <c r="E4" s="16">
        <v>0</v>
      </c>
      <c r="F4" s="13">
        <f t="shared" si="0"/>
        <v>5</v>
      </c>
      <c r="G4" s="17">
        <f t="shared" si="1"/>
        <v>625604</v>
      </c>
      <c r="H4" s="18">
        <f>G4*E4</f>
        <v>0</v>
      </c>
      <c r="I4" s="19"/>
      <c r="J4" s="17">
        <f t="shared" si="2"/>
        <v>625604.67697428574</v>
      </c>
      <c r="K4" s="17">
        <f t="shared" si="3"/>
        <v>665000</v>
      </c>
      <c r="L4" s="17">
        <f t="shared" si="4"/>
        <v>149369.59802096512</v>
      </c>
      <c r="M4" s="37">
        <f t="shared" si="5"/>
        <v>0.23876036020604216</v>
      </c>
      <c r="N4" s="38" t="str">
        <f t="shared" si="6"/>
        <v>Baixa, utilizar valor médio.</v>
      </c>
      <c r="O4" s="19"/>
      <c r="P4" s="27">
        <f>275000+390000</f>
        <v>665000</v>
      </c>
      <c r="Q4" s="20">
        <f>87500*6</f>
        <v>525000</v>
      </c>
      <c r="R4" s="20"/>
      <c r="S4" s="20"/>
      <c r="T4" s="20"/>
      <c r="U4" s="20">
        <f>134452*6</f>
        <v>806712</v>
      </c>
      <c r="V4" s="28">
        <f>(300000/4200)*6000</f>
        <v>428571.42857142858</v>
      </c>
      <c r="W4" s="20"/>
      <c r="X4" s="20"/>
      <c r="Y4" s="20"/>
      <c r="Z4" s="28"/>
      <c r="AA4" s="28"/>
      <c r="AB4" s="28"/>
      <c r="AC4" s="28">
        <f>(642417)*(1+(9.39/100))</f>
        <v>702739.95630000008</v>
      </c>
      <c r="AD4" s="28"/>
      <c r="AE4" s="28"/>
      <c r="AF4" s="28"/>
      <c r="AG4" s="28"/>
      <c r="AH4" s="28"/>
      <c r="AI4" s="28"/>
      <c r="AJ4" s="28"/>
      <c r="AK4" s="29"/>
      <c r="AL4" s="28"/>
      <c r="AM4" s="28"/>
      <c r="AN4" s="28"/>
      <c r="AO4" s="28"/>
      <c r="AP4" s="28"/>
      <c r="AQ4" s="28"/>
      <c r="AR4" s="19"/>
    </row>
    <row r="5" spans="1:48" ht="19.95" customHeight="1" x14ac:dyDescent="0.3">
      <c r="A5" s="74"/>
      <c r="B5" s="13">
        <v>3</v>
      </c>
      <c r="C5" s="14" t="s">
        <v>18</v>
      </c>
      <c r="D5" s="15" t="s">
        <v>0</v>
      </c>
      <c r="E5" s="36">
        <v>4</v>
      </c>
      <c r="F5" s="13">
        <f t="shared" si="0"/>
        <v>4</v>
      </c>
      <c r="G5" s="17">
        <f t="shared" si="1"/>
        <v>209374</v>
      </c>
      <c r="H5" s="18">
        <f>G5*E5</f>
        <v>837496</v>
      </c>
      <c r="I5" s="19"/>
      <c r="J5" s="17">
        <f t="shared" si="2"/>
        <v>217703.96422134002</v>
      </c>
      <c r="K5" s="17">
        <f t="shared" si="3"/>
        <v>209374.48064268002</v>
      </c>
      <c r="L5" s="17">
        <f t="shared" si="4"/>
        <v>67178.564020486883</v>
      </c>
      <c r="M5" s="37">
        <f t="shared" si="5"/>
        <v>0.30857758727896345</v>
      </c>
      <c r="N5" s="38" t="str">
        <f t="shared" si="6"/>
        <v>Alta, utilizar valor da mediana.</v>
      </c>
      <c r="O5" s="19"/>
      <c r="P5" s="30"/>
      <c r="Q5" s="20"/>
      <c r="R5" s="20"/>
      <c r="S5" s="28"/>
      <c r="T5" s="20"/>
      <c r="U5" s="20"/>
      <c r="V5" s="20"/>
      <c r="W5" s="20">
        <f>73080+85920</f>
        <v>159000</v>
      </c>
      <c r="X5" s="20"/>
      <c r="Y5" s="20"/>
      <c r="Z5" s="28"/>
      <c r="AA5" s="28"/>
      <c r="AB5" s="28"/>
      <c r="AC5" s="28">
        <f>150576*1.0834706</f>
        <v>163144.6690656</v>
      </c>
      <c r="AD5" s="28"/>
      <c r="AE5" s="28"/>
      <c r="AF5" s="28"/>
      <c r="AG5" s="28"/>
      <c r="AH5" s="28"/>
      <c r="AI5" s="28">
        <f>(233825.44)*1.0931415</f>
        <v>255604.29221976001</v>
      </c>
      <c r="AJ5" s="28"/>
      <c r="AK5" s="29">
        <f>(258000)*1.1359182</f>
        <v>293066.89560000005</v>
      </c>
      <c r="AL5" s="28"/>
      <c r="AM5" s="28"/>
      <c r="AN5" s="28"/>
      <c r="AO5" s="28"/>
      <c r="AP5" s="28"/>
      <c r="AQ5" s="28"/>
      <c r="AR5" s="19"/>
    </row>
    <row r="6" spans="1:48" ht="19.95" customHeight="1" x14ac:dyDescent="0.3">
      <c r="A6" s="74"/>
      <c r="B6" s="13">
        <v>4</v>
      </c>
      <c r="C6" s="14" t="s">
        <v>19</v>
      </c>
      <c r="D6" s="15" t="s">
        <v>0</v>
      </c>
      <c r="E6" s="36">
        <v>2</v>
      </c>
      <c r="F6" s="13">
        <f t="shared" si="0"/>
        <v>10</v>
      </c>
      <c r="G6" s="17">
        <f t="shared" si="1"/>
        <v>198501</v>
      </c>
      <c r="H6" s="18">
        <f t="shared" ref="H6:H17" si="7">G6*E6</f>
        <v>397002</v>
      </c>
      <c r="I6" s="19"/>
      <c r="J6" s="17">
        <f t="shared" si="2"/>
        <v>195673.21136660202</v>
      </c>
      <c r="K6" s="17">
        <f t="shared" si="3"/>
        <v>198501.45874931</v>
      </c>
      <c r="L6" s="17">
        <f t="shared" si="4"/>
        <v>52499.270449004856</v>
      </c>
      <c r="M6" s="37">
        <f t="shared" si="5"/>
        <v>0.26830075554208216</v>
      </c>
      <c r="N6" s="38" t="str">
        <f t="shared" si="6"/>
        <v>Alta, utilizar valor da mediana.</v>
      </c>
      <c r="O6" s="19"/>
      <c r="P6" s="30">
        <v>120000</v>
      </c>
      <c r="Q6" s="20">
        <v>208500</v>
      </c>
      <c r="R6" s="20"/>
      <c r="S6" s="28">
        <v>180000</v>
      </c>
      <c r="T6" s="20"/>
      <c r="U6" s="20"/>
      <c r="V6" s="20">
        <v>278896.92</v>
      </c>
      <c r="W6" s="20">
        <f>69502.2+73497.8</f>
        <v>143000</v>
      </c>
      <c r="X6" s="20"/>
      <c r="Y6" s="20"/>
      <c r="Z6" s="28"/>
      <c r="AA6" s="28"/>
      <c r="AB6" s="28"/>
      <c r="AC6" s="28">
        <f>138029*1.0834706</f>
        <v>149550.36344740001</v>
      </c>
      <c r="AD6" s="28">
        <f>(152000+30000)*1.0834706</f>
        <v>197191.64920000001</v>
      </c>
      <c r="AE6" s="28"/>
      <c r="AF6" s="28"/>
      <c r="AG6" s="28">
        <f>251000*1.1077404</f>
        <v>278042.84039999999</v>
      </c>
      <c r="AH6" s="28"/>
      <c r="AI6" s="28">
        <f>(182786.28)*1.0931415</f>
        <v>199811.26829862001</v>
      </c>
      <c r="AJ6" s="28"/>
      <c r="AK6" s="29">
        <f>(177600)*1.1359182</f>
        <v>201739.07232000001</v>
      </c>
      <c r="AL6" s="28"/>
      <c r="AM6" s="28"/>
      <c r="AN6" s="28"/>
      <c r="AO6" s="28"/>
      <c r="AP6" s="28"/>
      <c r="AQ6" s="28"/>
      <c r="AR6" s="19"/>
    </row>
    <row r="7" spans="1:48" ht="19.95" customHeight="1" x14ac:dyDescent="0.3">
      <c r="A7" s="74"/>
      <c r="B7" s="13">
        <v>5</v>
      </c>
      <c r="C7" s="14" t="s">
        <v>20</v>
      </c>
      <c r="D7" s="15" t="s">
        <v>0</v>
      </c>
      <c r="E7" s="16">
        <v>0</v>
      </c>
      <c r="F7" s="13">
        <f t="shared" si="0"/>
        <v>10</v>
      </c>
      <c r="G7" s="17">
        <f t="shared" si="1"/>
        <v>175060</v>
      </c>
      <c r="H7" s="18">
        <f t="shared" si="7"/>
        <v>0</v>
      </c>
      <c r="I7" s="19"/>
      <c r="J7" s="17">
        <f t="shared" si="2"/>
        <v>171418.82668920001</v>
      </c>
      <c r="K7" s="17">
        <f t="shared" si="3"/>
        <v>175060</v>
      </c>
      <c r="L7" s="17">
        <f t="shared" si="4"/>
        <v>67334.376710238677</v>
      </c>
      <c r="M7" s="37">
        <f t="shared" si="5"/>
        <v>0.39280619294123881</v>
      </c>
      <c r="N7" s="38" t="str">
        <f t="shared" si="6"/>
        <v>Alta, utilizar valor da mediana.</v>
      </c>
      <c r="O7" s="19"/>
      <c r="P7" s="30"/>
      <c r="Q7" s="20">
        <f>76000*2</f>
        <v>152000</v>
      </c>
      <c r="R7" s="20">
        <f>94670*2</f>
        <v>189340</v>
      </c>
      <c r="S7" s="28">
        <f>85060*2</f>
        <v>170120</v>
      </c>
      <c r="T7" s="20"/>
      <c r="U7" s="20">
        <v>197679.5</v>
      </c>
      <c r="V7" s="20">
        <v>270594.96999999997</v>
      </c>
      <c r="W7" s="20"/>
      <c r="X7" s="20">
        <v>82716.05</v>
      </c>
      <c r="Y7" s="20"/>
      <c r="Z7" s="28">
        <f>(48100)*1.0834706</f>
        <v>52114.935860000005</v>
      </c>
      <c r="AA7" s="28"/>
      <c r="AB7" s="28"/>
      <c r="AC7" s="28"/>
      <c r="AD7" s="28"/>
      <c r="AE7" s="28">
        <v>180000</v>
      </c>
      <c r="AF7" s="28"/>
      <c r="AG7" s="28"/>
      <c r="AH7" s="28"/>
      <c r="AI7" s="28"/>
      <c r="AJ7" s="28">
        <f>(225070)*1.1419386</f>
        <v>257016.12070200001</v>
      </c>
      <c r="AK7" s="29">
        <f>(143150)*1.1359182</f>
        <v>162606.69033000001</v>
      </c>
      <c r="AL7" s="28"/>
      <c r="AM7" s="28"/>
      <c r="AN7" s="28"/>
      <c r="AO7" s="28"/>
      <c r="AP7" s="28"/>
      <c r="AQ7" s="28"/>
      <c r="AR7" s="19"/>
    </row>
    <row r="8" spans="1:48" ht="19.95" customHeight="1" x14ac:dyDescent="0.3">
      <c r="A8" s="74"/>
      <c r="B8" s="13">
        <v>6</v>
      </c>
      <c r="C8" s="14" t="s">
        <v>21</v>
      </c>
      <c r="D8" s="15" t="s">
        <v>0</v>
      </c>
      <c r="E8" s="36">
        <v>20</v>
      </c>
      <c r="F8" s="13">
        <f t="shared" si="0"/>
        <v>13</v>
      </c>
      <c r="G8" s="17">
        <f t="shared" si="1"/>
        <v>42800</v>
      </c>
      <c r="H8" s="18">
        <f t="shared" si="7"/>
        <v>856000</v>
      </c>
      <c r="I8" s="19"/>
      <c r="J8" s="17">
        <f t="shared" si="2"/>
        <v>44979.954783799389</v>
      </c>
      <c r="K8" s="17">
        <f t="shared" si="3"/>
        <v>42800</v>
      </c>
      <c r="L8" s="17">
        <f t="shared" si="4"/>
        <v>20429.013361149209</v>
      </c>
      <c r="M8" s="37">
        <f t="shared" si="5"/>
        <v>0.45418038900535329</v>
      </c>
      <c r="N8" s="38" t="str">
        <f t="shared" si="6"/>
        <v>Alta, utilizar valor da mediana.</v>
      </c>
      <c r="O8" s="19"/>
      <c r="P8" s="30">
        <v>29000</v>
      </c>
      <c r="Q8" s="20">
        <f>21400*2</f>
        <v>42800</v>
      </c>
      <c r="R8" s="20">
        <v>56600</v>
      </c>
      <c r="S8" s="28">
        <f>19300*2</f>
        <v>38600</v>
      </c>
      <c r="T8" s="20"/>
      <c r="U8" s="20">
        <f>24545*2</f>
        <v>49090</v>
      </c>
      <c r="V8" s="20">
        <f>11285.32*2</f>
        <v>22570.639999999999</v>
      </c>
      <c r="W8" s="20"/>
      <c r="X8" s="20">
        <v>43209.88</v>
      </c>
      <c r="Y8" s="20"/>
      <c r="Z8" s="28">
        <f>(23474)*1.0834706</f>
        <v>25433.3888644</v>
      </c>
      <c r="AA8" s="28"/>
      <c r="AB8" s="28"/>
      <c r="AC8" s="28">
        <f>37540*1.0834706</f>
        <v>40673.486324000005</v>
      </c>
      <c r="AD8" s="28">
        <f xml:space="preserve"> (43640.3+ 13774.02)*1.0834706</f>
        <v>62206.727738992013</v>
      </c>
      <c r="AE8" s="28">
        <v>23000</v>
      </c>
      <c r="AF8" s="28"/>
      <c r="AG8" s="28">
        <f>48500*1.1077404</f>
        <v>53725.409399999997</v>
      </c>
      <c r="AH8" s="28"/>
      <c r="AI8" s="28"/>
      <c r="AJ8" s="28">
        <f>(85670)*1.1419386</f>
        <v>97829.879862000002</v>
      </c>
      <c r="AK8" s="29"/>
      <c r="AL8" s="28"/>
      <c r="AM8" s="28"/>
      <c r="AN8" s="28"/>
      <c r="AO8" s="28"/>
      <c r="AP8" s="28"/>
      <c r="AQ8" s="28"/>
      <c r="AR8" s="19"/>
    </row>
    <row r="9" spans="1:48" ht="19.95" customHeight="1" x14ac:dyDescent="0.3">
      <c r="A9" s="74"/>
      <c r="B9" s="13">
        <v>7</v>
      </c>
      <c r="C9" s="14" t="s">
        <v>22</v>
      </c>
      <c r="D9" s="15" t="s">
        <v>0</v>
      </c>
      <c r="E9" s="16">
        <v>0</v>
      </c>
      <c r="F9" s="13">
        <f t="shared" si="0"/>
        <v>12</v>
      </c>
      <c r="G9" s="17">
        <f t="shared" si="1"/>
        <v>1229</v>
      </c>
      <c r="H9" s="18">
        <f t="shared" si="7"/>
        <v>0</v>
      </c>
      <c r="I9" s="19"/>
      <c r="J9" s="17">
        <f t="shared" si="2"/>
        <v>1894.5924465328335</v>
      </c>
      <c r="K9" s="17">
        <f t="shared" si="3"/>
        <v>1229.7550100000001</v>
      </c>
      <c r="L9" s="17">
        <f t="shared" si="4"/>
        <v>1606.6247855237689</v>
      </c>
      <c r="M9" s="37">
        <f t="shared" si="5"/>
        <v>0.84800548448503799</v>
      </c>
      <c r="N9" s="38" t="str">
        <f t="shared" si="6"/>
        <v>Alta, utilizar valor da mediana.</v>
      </c>
      <c r="O9" s="19"/>
      <c r="P9" s="30">
        <f>585+85</f>
        <v>670</v>
      </c>
      <c r="Q9" s="20"/>
      <c r="R9" s="20"/>
      <c r="S9" s="20">
        <v>1210</v>
      </c>
      <c r="T9" s="20">
        <v>4200</v>
      </c>
      <c r="U9" s="20">
        <v>4032</v>
      </c>
      <c r="V9" s="20">
        <v>700.15</v>
      </c>
      <c r="W9" s="20"/>
      <c r="X9" s="20">
        <f>1604.94+246.91</f>
        <v>1851.8500000000001</v>
      </c>
      <c r="Y9" s="20"/>
      <c r="Z9" s="28">
        <f>(690)*1.0834706</f>
        <v>747.59471400000007</v>
      </c>
      <c r="AA9" s="28"/>
      <c r="AB9" s="28"/>
      <c r="AC9" s="28">
        <f>150*1.0834706</f>
        <v>162.52059</v>
      </c>
      <c r="AD9" s="28">
        <f>(4512)*1.0834706</f>
        <v>4888.6193472000004</v>
      </c>
      <c r="AE9" s="28"/>
      <c r="AF9" s="28">
        <f>(670.67)*1.1359182</f>
        <v>761.82625919400004</v>
      </c>
      <c r="AG9" s="28"/>
      <c r="AH9" s="28"/>
      <c r="AI9" s="28"/>
      <c r="AJ9" s="28">
        <f>(1980)*1.1419386</f>
        <v>2261.0384279999998</v>
      </c>
      <c r="AK9" s="29">
        <f>1100*1.1359182</f>
        <v>1249.5100200000002</v>
      </c>
      <c r="AL9" s="28"/>
      <c r="AM9" s="28"/>
      <c r="AN9" s="28"/>
      <c r="AO9" s="28"/>
      <c r="AP9" s="28"/>
      <c r="AQ9" s="28"/>
      <c r="AR9" s="19"/>
    </row>
    <row r="10" spans="1:48" ht="19.95" customHeight="1" x14ac:dyDescent="0.3">
      <c r="A10" s="74"/>
      <c r="B10" s="13">
        <v>8</v>
      </c>
      <c r="C10" s="14" t="s">
        <v>23</v>
      </c>
      <c r="D10" s="15" t="s">
        <v>0</v>
      </c>
      <c r="E10" s="36">
        <v>48</v>
      </c>
      <c r="F10" s="13">
        <f t="shared" si="0"/>
        <v>6</v>
      </c>
      <c r="G10" s="17">
        <f t="shared" si="1"/>
        <v>2538</v>
      </c>
      <c r="H10" s="18">
        <f t="shared" si="7"/>
        <v>121824</v>
      </c>
      <c r="I10" s="19"/>
      <c r="J10" s="17">
        <f t="shared" si="2"/>
        <v>3336.8219667916669</v>
      </c>
      <c r="K10" s="17">
        <f t="shared" si="3"/>
        <v>2538.9191667750001</v>
      </c>
      <c r="L10" s="17">
        <f t="shared" si="4"/>
        <v>3233.7552603711333</v>
      </c>
      <c r="M10" s="37">
        <f t="shared" si="5"/>
        <v>0.96911231481743343</v>
      </c>
      <c r="N10" s="38" t="str">
        <f t="shared" si="6"/>
        <v>Alta, utilizar valor da mediana.</v>
      </c>
      <c r="O10" s="19"/>
      <c r="P10" s="30"/>
      <c r="Q10" s="20"/>
      <c r="R10" s="20"/>
      <c r="S10" s="20"/>
      <c r="T10" s="20"/>
      <c r="U10" s="20"/>
      <c r="V10" s="20">
        <v>9006.6299999999992</v>
      </c>
      <c r="W10" s="20">
        <v>831.15</v>
      </c>
      <c r="X10" s="20"/>
      <c r="Y10" s="20"/>
      <c r="Z10" s="28"/>
      <c r="AA10" s="28"/>
      <c r="AB10" s="28"/>
      <c r="AC10" s="28">
        <f>200*1.0834706</f>
        <v>216.69412</v>
      </c>
      <c r="AD10" s="28">
        <f>(4512)*1.0834706</f>
        <v>4888.6193472000004</v>
      </c>
      <c r="AE10" s="28"/>
      <c r="AF10" s="28">
        <f>(1820.25)*1.1359182</f>
        <v>2067.6551035500001</v>
      </c>
      <c r="AG10" s="28"/>
      <c r="AH10" s="28"/>
      <c r="AI10" s="28"/>
      <c r="AJ10" s="28"/>
      <c r="AK10" s="29">
        <f>2650*1.1359182</f>
        <v>3010.1832300000001</v>
      </c>
      <c r="AL10" s="28"/>
      <c r="AM10" s="28"/>
      <c r="AN10" s="28"/>
      <c r="AO10" s="28"/>
      <c r="AP10" s="28"/>
      <c r="AQ10" s="28"/>
      <c r="AR10" s="19"/>
    </row>
    <row r="11" spans="1:48" ht="19.95" customHeight="1" x14ac:dyDescent="0.3">
      <c r="A11" s="74"/>
      <c r="B11" s="13">
        <v>9</v>
      </c>
      <c r="C11" s="14" t="s">
        <v>24</v>
      </c>
      <c r="D11" s="15" t="s">
        <v>0</v>
      </c>
      <c r="E11" s="36">
        <v>36</v>
      </c>
      <c r="F11" s="13">
        <f t="shared" si="0"/>
        <v>4</v>
      </c>
      <c r="G11" s="17">
        <f t="shared" si="1"/>
        <v>7098</v>
      </c>
      <c r="H11" s="18">
        <f t="shared" si="7"/>
        <v>255528</v>
      </c>
      <c r="I11" s="19"/>
      <c r="J11" s="17">
        <f t="shared" si="2"/>
        <v>6637.714596025</v>
      </c>
      <c r="K11" s="17">
        <f t="shared" si="3"/>
        <v>7098.59</v>
      </c>
      <c r="L11" s="17">
        <f t="shared" si="4"/>
        <v>2269.3061152222886</v>
      </c>
      <c r="M11" s="37">
        <f t="shared" si="5"/>
        <v>0.34188064015003961</v>
      </c>
      <c r="N11" s="38" t="str">
        <f t="shared" si="6"/>
        <v>Alta, utilizar valor da mediana.</v>
      </c>
      <c r="O11" s="19"/>
      <c r="P11" s="30"/>
      <c r="Q11" s="20"/>
      <c r="R11" s="20"/>
      <c r="S11" s="20"/>
      <c r="T11" s="20">
        <v>8000</v>
      </c>
      <c r="U11" s="20"/>
      <c r="V11" s="20">
        <v>6197.18</v>
      </c>
      <c r="W11" s="20"/>
      <c r="X11" s="20"/>
      <c r="Y11" s="20"/>
      <c r="Z11" s="28"/>
      <c r="AA11" s="28"/>
      <c r="AB11" s="28"/>
      <c r="AC11" s="28"/>
      <c r="AD11" s="28"/>
      <c r="AE11" s="28"/>
      <c r="AF11" s="28">
        <f>(3195.5)*1.1359182</f>
        <v>3629.8266081000002</v>
      </c>
      <c r="AG11" s="28"/>
      <c r="AH11" s="28"/>
      <c r="AI11" s="28"/>
      <c r="AJ11" s="28"/>
      <c r="AK11" s="29">
        <f>7680*1.1359182</f>
        <v>8723.8517760000013</v>
      </c>
      <c r="AL11" s="28"/>
      <c r="AM11" s="28"/>
      <c r="AN11" s="28"/>
      <c r="AO11" s="28"/>
      <c r="AP11" s="28"/>
      <c r="AQ11" s="28"/>
      <c r="AR11" s="19"/>
    </row>
    <row r="12" spans="1:48" ht="19.95" customHeight="1" x14ac:dyDescent="0.3">
      <c r="A12" s="74"/>
      <c r="B12" s="13">
        <v>10</v>
      </c>
      <c r="C12" s="14" t="s">
        <v>25</v>
      </c>
      <c r="D12" s="15" t="s">
        <v>0</v>
      </c>
      <c r="E12" s="36">
        <v>36</v>
      </c>
      <c r="F12" s="13">
        <f t="shared" si="0"/>
        <v>3</v>
      </c>
      <c r="G12" s="17">
        <f t="shared" si="1"/>
        <v>5076</v>
      </c>
      <c r="H12" s="18">
        <f t="shared" si="7"/>
        <v>182736</v>
      </c>
      <c r="I12" s="19"/>
      <c r="J12" s="17">
        <f t="shared" si="2"/>
        <v>4652.4034293133336</v>
      </c>
      <c r="K12" s="17">
        <f t="shared" si="3"/>
        <v>5076.0597610000004</v>
      </c>
      <c r="L12" s="17">
        <f t="shared" si="4"/>
        <v>1990.6783459806743</v>
      </c>
      <c r="M12" s="37">
        <f t="shared" si="5"/>
        <v>0.42788171237215478</v>
      </c>
      <c r="N12" s="38" t="str">
        <f t="shared" si="6"/>
        <v>Alta, utilizar valor da mediana.</v>
      </c>
      <c r="O12" s="19"/>
      <c r="P12" s="30"/>
      <c r="Q12" s="20"/>
      <c r="R12" s="20"/>
      <c r="S12" s="20"/>
      <c r="T12" s="20"/>
      <c r="U12" s="20"/>
      <c r="V12" s="20"/>
      <c r="W12" s="20">
        <v>2484</v>
      </c>
      <c r="X12" s="20"/>
      <c r="Y12" s="20"/>
      <c r="Z12" s="28">
        <f>(4685)*1.0834706</f>
        <v>5076.0597610000004</v>
      </c>
      <c r="AA12" s="28"/>
      <c r="AB12" s="28"/>
      <c r="AC12" s="28"/>
      <c r="AD12" s="28"/>
      <c r="AE12" s="28"/>
      <c r="AF12" s="28">
        <f>(5631.7)*1.1359182</f>
        <v>6397.1505269400004</v>
      </c>
      <c r="AG12" s="28"/>
      <c r="AH12" s="28"/>
      <c r="AI12" s="28"/>
      <c r="AJ12" s="28"/>
      <c r="AK12" s="29"/>
      <c r="AL12" s="28"/>
      <c r="AM12" s="28"/>
      <c r="AN12" s="28"/>
      <c r="AO12" s="28"/>
      <c r="AP12" s="28"/>
      <c r="AQ12" s="28"/>
      <c r="AR12" s="19"/>
    </row>
    <row r="13" spans="1:48" ht="19.95" customHeight="1" x14ac:dyDescent="0.3">
      <c r="A13" s="74"/>
      <c r="B13" s="13">
        <v>11</v>
      </c>
      <c r="C13" s="14" t="s">
        <v>15</v>
      </c>
      <c r="D13" s="15" t="s">
        <v>11</v>
      </c>
      <c r="E13" s="16">
        <v>2</v>
      </c>
      <c r="F13" s="13">
        <f t="shared" si="0"/>
        <v>3</v>
      </c>
      <c r="G13" s="17">
        <f t="shared" si="1"/>
        <v>290000</v>
      </c>
      <c r="H13" s="18">
        <f t="shared" si="7"/>
        <v>580000</v>
      </c>
      <c r="I13" s="19"/>
      <c r="J13" s="17">
        <f t="shared" si="2"/>
        <v>271958.35921355558</v>
      </c>
      <c r="K13" s="17">
        <f t="shared" si="3"/>
        <v>290000</v>
      </c>
      <c r="L13" s="17">
        <f t="shared" si="4"/>
        <v>90054.91102568245</v>
      </c>
      <c r="M13" s="37">
        <f t="shared" si="5"/>
        <v>0.33113492553088519</v>
      </c>
      <c r="N13" s="38" t="str">
        <f t="shared" si="6"/>
        <v>Alta, utilizar valor da mediana.</v>
      </c>
      <c r="O13" s="19"/>
      <c r="P13" s="30">
        <f>290000</f>
        <v>290000</v>
      </c>
      <c r="Q13" s="28"/>
      <c r="R13" s="20"/>
      <c r="S13" s="31"/>
      <c r="T13" s="20"/>
      <c r="U13" s="20"/>
      <c r="V13" s="20"/>
      <c r="W13" s="20"/>
      <c r="X13" s="20"/>
      <c r="Y13" s="20"/>
      <c r="Z13" s="28"/>
      <c r="AA13" s="28"/>
      <c r="AB13" s="28"/>
      <c r="AC13" s="28"/>
      <c r="AD13" s="28"/>
      <c r="AE13" s="28"/>
      <c r="AF13" s="28"/>
      <c r="AG13" s="28"/>
      <c r="AH13" s="28">
        <f>950/36*60*1.1104*E14</f>
        <v>351626.66666666669</v>
      </c>
      <c r="AI13" s="28"/>
      <c r="AJ13" s="28">
        <f>(152590)*1.1419386</f>
        <v>174248.410974</v>
      </c>
      <c r="AK13" s="29"/>
      <c r="AL13" s="28"/>
      <c r="AM13" s="28"/>
      <c r="AN13" s="28"/>
      <c r="AO13" s="28"/>
      <c r="AP13" s="28"/>
      <c r="AQ13" s="28"/>
      <c r="AR13" s="19"/>
      <c r="AV13" s="32"/>
    </row>
    <row r="14" spans="1:48" ht="19.95" customHeight="1" x14ac:dyDescent="0.3">
      <c r="A14" s="74"/>
      <c r="B14" s="13">
        <v>12</v>
      </c>
      <c r="C14" s="14" t="s">
        <v>26</v>
      </c>
      <c r="D14" s="15" t="s">
        <v>0</v>
      </c>
      <c r="E14" s="36">
        <v>200</v>
      </c>
      <c r="F14" s="13">
        <f t="shared" si="0"/>
        <v>8</v>
      </c>
      <c r="G14" s="17">
        <f t="shared" si="1"/>
        <v>7517</v>
      </c>
      <c r="H14" s="18">
        <f t="shared" si="7"/>
        <v>1503400</v>
      </c>
      <c r="I14" s="19"/>
      <c r="J14" s="17">
        <f t="shared" si="2"/>
        <v>7765.5235099999991</v>
      </c>
      <c r="K14" s="17">
        <f t="shared" si="3"/>
        <v>7517.1882800000003</v>
      </c>
      <c r="L14" s="17">
        <f t="shared" si="4"/>
        <v>3252.6576965904783</v>
      </c>
      <c r="M14" s="37">
        <f t="shared" si="5"/>
        <v>0.41885877911539265</v>
      </c>
      <c r="N14" s="38" t="str">
        <f t="shared" si="6"/>
        <v>Alta, utilizar valor da mediana.</v>
      </c>
      <c r="O14" s="19"/>
      <c r="P14" s="30">
        <v>6800</v>
      </c>
      <c r="Q14" s="20">
        <v>5200</v>
      </c>
      <c r="R14" s="20"/>
      <c r="S14" s="33">
        <v>3750</v>
      </c>
      <c r="T14" s="20"/>
      <c r="U14" s="20"/>
      <c r="V14" s="20">
        <v>5668.85</v>
      </c>
      <c r="W14" s="20"/>
      <c r="X14" s="20"/>
      <c r="Y14" s="20">
        <v>14130</v>
      </c>
      <c r="Z14" s="28"/>
      <c r="AA14" s="28"/>
      <c r="AB14" s="28"/>
      <c r="AC14" s="28">
        <f>7600*1.0834706</f>
        <v>8234.3765600000006</v>
      </c>
      <c r="AD14" s="28"/>
      <c r="AE14" s="28"/>
      <c r="AF14" s="28"/>
      <c r="AG14" s="28"/>
      <c r="AH14" s="28">
        <f>(7350)*1.1359182</f>
        <v>8348.9987700000001</v>
      </c>
      <c r="AI14" s="28"/>
      <c r="AJ14" s="28">
        <f>(8750)*1.1419386</f>
        <v>9991.9627500000006</v>
      </c>
      <c r="AK14" s="29"/>
      <c r="AL14" s="28"/>
      <c r="AM14" s="28"/>
      <c r="AN14" s="28"/>
      <c r="AO14" s="28"/>
      <c r="AP14" s="28"/>
      <c r="AQ14" s="28"/>
      <c r="AR14" s="19"/>
    </row>
    <row r="15" spans="1:48" ht="19.95" customHeight="1" x14ac:dyDescent="0.3">
      <c r="A15" s="74"/>
      <c r="B15" s="13">
        <v>13</v>
      </c>
      <c r="C15" s="14" t="s">
        <v>27</v>
      </c>
      <c r="D15" s="15" t="s">
        <v>0</v>
      </c>
      <c r="E15" s="16">
        <v>0</v>
      </c>
      <c r="F15" s="13">
        <f t="shared" si="0"/>
        <v>3</v>
      </c>
      <c r="G15" s="17">
        <f t="shared" si="1"/>
        <v>3190</v>
      </c>
      <c r="H15" s="18">
        <f t="shared" si="7"/>
        <v>0</v>
      </c>
      <c r="I15" s="19"/>
      <c r="J15" s="17">
        <f t="shared" si="2"/>
        <v>3001.8652222222227</v>
      </c>
      <c r="K15" s="17">
        <f t="shared" si="3"/>
        <v>3190.5416666666674</v>
      </c>
      <c r="L15" s="17">
        <f t="shared" si="4"/>
        <v>1020.6908230434657</v>
      </c>
      <c r="M15" s="37">
        <f t="shared" si="5"/>
        <v>0.34001887076324766</v>
      </c>
      <c r="N15" s="38" t="str">
        <f t="shared" si="6"/>
        <v>Alta, utilizar valor da mediana.</v>
      </c>
      <c r="O15" s="19"/>
      <c r="P15" s="30">
        <v>1900</v>
      </c>
      <c r="Q15" s="20"/>
      <c r="R15" s="20"/>
      <c r="S15" s="33"/>
      <c r="T15" s="20"/>
      <c r="U15" s="20"/>
      <c r="V15" s="20"/>
      <c r="W15" s="20"/>
      <c r="X15" s="20"/>
      <c r="Y15" s="20"/>
      <c r="Z15" s="28"/>
      <c r="AA15" s="28">
        <f>((1750/36)*60)*(1+(9.39/100))</f>
        <v>3190.5416666666674</v>
      </c>
      <c r="AB15" s="28"/>
      <c r="AC15" s="28"/>
      <c r="AD15" s="28"/>
      <c r="AE15" s="28"/>
      <c r="AF15" s="28"/>
      <c r="AG15" s="28"/>
      <c r="AH15" s="28"/>
      <c r="AI15" s="28"/>
      <c r="AJ15" s="28"/>
      <c r="AK15" s="29"/>
      <c r="AL15" s="28">
        <f>2970*1.3182</f>
        <v>3915.0540000000001</v>
      </c>
      <c r="AM15" s="28"/>
      <c r="AN15" s="28"/>
      <c r="AO15" s="28"/>
      <c r="AP15" s="28"/>
      <c r="AQ15" s="28"/>
      <c r="AR15" s="19"/>
    </row>
    <row r="16" spans="1:48" ht="19.95" customHeight="1" x14ac:dyDescent="0.3">
      <c r="A16" s="74"/>
      <c r="B16" s="13">
        <v>14</v>
      </c>
      <c r="C16" s="14" t="s">
        <v>28</v>
      </c>
      <c r="D16" s="15" t="s">
        <v>0</v>
      </c>
      <c r="E16" s="16">
        <v>0</v>
      </c>
      <c r="F16" s="13">
        <f t="shared" si="0"/>
        <v>6</v>
      </c>
      <c r="G16" s="17">
        <f t="shared" si="1"/>
        <v>72513</v>
      </c>
      <c r="H16" s="18">
        <f t="shared" si="7"/>
        <v>0</v>
      </c>
      <c r="I16" s="19"/>
      <c r="J16" s="17">
        <f t="shared" si="2"/>
        <v>77466.085000000006</v>
      </c>
      <c r="K16" s="17">
        <f t="shared" si="3"/>
        <v>72513.024999999994</v>
      </c>
      <c r="L16" s="17">
        <f t="shared" si="4"/>
        <v>42824.796338894019</v>
      </c>
      <c r="M16" s="37">
        <f t="shared" si="5"/>
        <v>0.55281993841426236</v>
      </c>
      <c r="N16" s="38" t="str">
        <f t="shared" si="6"/>
        <v>Alta, utilizar valor da mediana.</v>
      </c>
      <c r="O16" s="19"/>
      <c r="P16" s="30">
        <f>24000+45000</f>
        <v>69000</v>
      </c>
      <c r="Q16" s="20"/>
      <c r="R16" s="20"/>
      <c r="S16" s="33"/>
      <c r="T16" s="20"/>
      <c r="U16" s="20">
        <v>29253</v>
      </c>
      <c r="V16" s="20"/>
      <c r="W16" s="20"/>
      <c r="X16" s="20"/>
      <c r="Y16" s="20"/>
      <c r="Z16" s="28">
        <f>(47400)*(1+(9.39/100))</f>
        <v>51850.860000000008</v>
      </c>
      <c r="AA16" s="28"/>
      <c r="AB16" s="28"/>
      <c r="AC16" s="28">
        <f>(139000/8*4)*(1+(9.39/100))</f>
        <v>76026.05</v>
      </c>
      <c r="AD16" s="28"/>
      <c r="AE16" s="28"/>
      <c r="AF16" s="28">
        <f>(74937.5)*(1+(11.04/100))</f>
        <v>83210.600000000006</v>
      </c>
      <c r="AG16" s="28"/>
      <c r="AH16" s="28"/>
      <c r="AI16" s="28"/>
      <c r="AJ16" s="28"/>
      <c r="AK16" s="29">
        <f>210000/6*4*1.1104</f>
        <v>155456</v>
      </c>
      <c r="AL16" s="28"/>
      <c r="AM16" s="28"/>
      <c r="AN16" s="28"/>
      <c r="AO16" s="28"/>
      <c r="AP16" s="28"/>
      <c r="AQ16" s="28"/>
      <c r="AR16" s="19"/>
    </row>
    <row r="17" spans="1:44" ht="24.6" thickBot="1" x14ac:dyDescent="0.35">
      <c r="A17" s="75"/>
      <c r="B17" s="39">
        <v>15</v>
      </c>
      <c r="C17" s="40" t="s">
        <v>29</v>
      </c>
      <c r="D17" s="41" t="s">
        <v>14</v>
      </c>
      <c r="E17" s="42">
        <v>12</v>
      </c>
      <c r="F17" s="39">
        <f>COUNT(P17:AQ17)</f>
        <v>6</v>
      </c>
      <c r="G17" s="17">
        <f t="shared" si="1"/>
        <v>52881</v>
      </c>
      <c r="H17" s="43">
        <f t="shared" si="7"/>
        <v>634572</v>
      </c>
      <c r="I17" s="44"/>
      <c r="J17" s="45">
        <f t="shared" si="2"/>
        <v>52881.215000000004</v>
      </c>
      <c r="K17" s="45">
        <f t="shared" si="3"/>
        <v>58038.684999999998</v>
      </c>
      <c r="L17" s="45">
        <f t="shared" si="4"/>
        <v>10450.266425171591</v>
      </c>
      <c r="M17" s="46">
        <f t="shared" si="5"/>
        <v>0.19761774431944482</v>
      </c>
      <c r="N17" s="47" t="str">
        <f t="shared" si="6"/>
        <v>Baixa, utilizar valor médio.</v>
      </c>
      <c r="O17" s="44"/>
      <c r="P17" s="30"/>
      <c r="Q17" s="20"/>
      <c r="R17" s="20"/>
      <c r="S17" s="33"/>
      <c r="T17" s="20"/>
      <c r="U17" s="20"/>
      <c r="V17" s="20"/>
      <c r="W17" s="20"/>
      <c r="X17" s="20"/>
      <c r="Y17" s="20"/>
      <c r="Z17" s="28"/>
      <c r="AA17" s="28"/>
      <c r="AB17" s="28">
        <f>57000*(1+(9.39/100))</f>
        <v>62352.3</v>
      </c>
      <c r="AC17" s="28"/>
      <c r="AD17" s="28"/>
      <c r="AE17" s="28"/>
      <c r="AF17" s="28"/>
      <c r="AG17" s="28"/>
      <c r="AH17" s="28"/>
      <c r="AI17" s="28"/>
      <c r="AJ17" s="28"/>
      <c r="AK17" s="29"/>
      <c r="AL17" s="28"/>
      <c r="AM17" s="28">
        <v>37388.42</v>
      </c>
      <c r="AN17" s="28">
        <v>41990.17</v>
      </c>
      <c r="AO17" s="28">
        <v>59479.03</v>
      </c>
      <c r="AP17" s="28">
        <v>58734.09</v>
      </c>
      <c r="AQ17" s="28">
        <v>57343.28</v>
      </c>
      <c r="AR17" s="44"/>
    </row>
    <row r="18" spans="1:44" ht="12.6" thickBot="1" x14ac:dyDescent="0.35">
      <c r="A18" s="76" t="s">
        <v>42</v>
      </c>
      <c r="B18" s="77"/>
      <c r="C18" s="77"/>
      <c r="D18" s="77"/>
      <c r="E18" s="77"/>
      <c r="F18" s="77"/>
      <c r="G18" s="78"/>
      <c r="H18" s="34">
        <f>SUM(H3:H17)</f>
        <v>5815534</v>
      </c>
    </row>
    <row r="21" spans="1:44" ht="15" customHeight="1" x14ac:dyDescent="0.3"/>
  </sheetData>
  <mergeCells count="4">
    <mergeCell ref="G2:H2"/>
    <mergeCell ref="A3:A17"/>
    <mergeCell ref="A18:G18"/>
    <mergeCell ref="J1:N1"/>
  </mergeCells>
  <conditionalFormatting sqref="F3:F17">
    <cfRule type="cellIs" dxfId="0" priority="1" operator="lessThan">
      <formula>3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ETP-NOVO</vt:lpstr>
      <vt:lpstr>LISTA DE INDICES DE REAJUSTE</vt:lpstr>
      <vt:lpstr>ETP-INICIAL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Pessoal</dc:creator>
  <cp:keywords/>
  <dc:description/>
  <cp:lastModifiedBy>Patricie Medova</cp:lastModifiedBy>
  <dcterms:created xsi:type="dcterms:W3CDTF">2025-08-25T12:41:32Z</dcterms:created>
  <dcterms:modified xsi:type="dcterms:W3CDTF">2025-11-05T14:08:11Z</dcterms:modified>
  <cp:category/>
</cp:coreProperties>
</file>